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cuments\Judit mappája\ÜZLETI TERV\2025 tervezés\"/>
    </mc:Choice>
  </mc:AlternateContent>
  <xr:revisionPtr revIDLastSave="0" documentId="13_ncr:1_{8EDC2ABF-7AC6-4348-89D7-5C1F172F526D}" xr6:coauthVersionLast="47" xr6:coauthVersionMax="47" xr10:uidLastSave="{00000000-0000-0000-0000-000000000000}"/>
  <bookViews>
    <workbookView xWindow="28692" yWindow="-108" windowWidth="29016" windowHeight="15816" tabRatio="852" firstSheet="1" activeTab="5" xr2:uid="{00000000-000D-0000-FFFF-FFFF00000000}"/>
  </bookViews>
  <sheets>
    <sheet name="H segédtábla" sheetId="3" state="hidden" r:id="rId1"/>
    <sheet name="INFO" sheetId="30" r:id="rId2"/>
    <sheet name="Vezetői összefoglaló" sheetId="16" r:id="rId3"/>
    <sheet name="Támogatások" sheetId="21" r:id="rId4"/>
    <sheet name="EK terv" sheetId="12" r:id="rId5"/>
    <sheet name="Mérleg terv" sheetId="11" r:id="rId6"/>
    <sheet name="Mutatók" sheetId="22" r:id="rId7"/>
    <sheet name="Cash flow terv" sheetId="31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5" hidden="1">'Mérleg terv'!$A$2:$E$109</definedName>
    <definedName name="BESZ_DT">'[1]GYSEV Zrt.'!$B$3</definedName>
    <definedName name="BESZ_ÉV">'[1]GYSEV Zrt.'!$B$4</definedName>
    <definedName name="BESZ_TIPUS">'[1]GYSEV Zrt.'!$B$4</definedName>
    <definedName name="CEG" localSheetId="4">'[1]GYSEV Zrt.'!#REF!</definedName>
    <definedName name="CEG" localSheetId="5">'[1]GYSEV Zrt.'!#REF!</definedName>
    <definedName name="CEG" localSheetId="3">'[1]GYSEV Zrt.'!#REF!</definedName>
    <definedName name="CEG" localSheetId="2">'[1]GYSEV Zrt.'!#REF!</definedName>
    <definedName name="CEG">'[1]GYSEV Zrt.'!#REF!</definedName>
    <definedName name="eredménykimutatásadatok" localSheetId="4">'[2]jelentés kieg lap'!$B$267:$B$313</definedName>
    <definedName name="eredménykimutatásadatok" localSheetId="5">'[2]jelentés kieg lap'!$B$267:$B$313</definedName>
    <definedName name="eredménykimutatásadatok" localSheetId="3">'[2]jelentés kieg lap'!$B$267:$B$313</definedName>
    <definedName name="eredménykimutatásadatok" localSheetId="2">'[2]jelentés kieg lap'!$B$267:$B$313</definedName>
    <definedName name="eredménykimutatásadatok">'[3]jelentés kieg lap'!$B$267:$B$313</definedName>
    <definedName name="időszakok" localSheetId="4">'[2]jelentés kieg lap'!$B$317:$B$328</definedName>
    <definedName name="időszakok" localSheetId="5">'[2]jelentés kieg lap'!$B$317:$B$328</definedName>
    <definedName name="időszakok" localSheetId="3">'[2]jelentés kieg lap'!$B$317:$B$328</definedName>
    <definedName name="időszakok" localSheetId="2">'[2]jelentés kieg lap'!$B$317:$B$328</definedName>
    <definedName name="időszakok">'[3]jelentés kieg lap'!$B$317:$B$328</definedName>
    <definedName name="létszámadatok" localSheetId="4">'[2]jelentés kieg lap'!$B$156:$B$157</definedName>
    <definedName name="létszámadatok" localSheetId="5">'[2]jelentés kieg lap'!$B$156:$B$157</definedName>
    <definedName name="létszámadatok" localSheetId="3">'[2]jelentés kieg lap'!$B$156:$B$157</definedName>
    <definedName name="létszámadatok" localSheetId="2">'[2]jelentés kieg lap'!$B$156:$B$157</definedName>
    <definedName name="létszámadatok">'[3]jelentés kieg lap'!$B$156:$B$157</definedName>
    <definedName name="Lista" localSheetId="0">'[4]TC-alap'!$T$1:$T$3</definedName>
    <definedName name="Lista">[5]Alap!$T$2:$T$13</definedName>
    <definedName name="lista2">'[4]TC-alap'!$V$1:$V$9</definedName>
    <definedName name="mérlegadatok" localSheetId="4">'[2]jelentés kieg lap'!$B$160:$B$265</definedName>
    <definedName name="mérlegadatok" localSheetId="5">'[2]jelentés kieg lap'!$B$160:$B$265</definedName>
    <definedName name="mérlegadatok" localSheetId="3">'[2]jelentés kieg lap'!$B$160:$B$265</definedName>
    <definedName name="mérlegadatok" localSheetId="2">'[2]jelentés kieg lap'!$B$160:$B$265</definedName>
    <definedName name="mérlegadatok">'[3]jelentés kieg lap'!$B$160:$B$265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8" i="11" l="1"/>
  <c r="C19" i="12" l="1"/>
  <c r="C13" i="12"/>
  <c r="C20" i="12"/>
  <c r="C18" i="12"/>
  <c r="C41" i="12"/>
  <c r="C16" i="12"/>
  <c r="C15" i="12"/>
  <c r="D17" i="31"/>
  <c r="E91" i="11" l="1"/>
  <c r="E15" i="11"/>
  <c r="E14" i="11"/>
  <c r="E13" i="11"/>
  <c r="D108" i="11"/>
  <c r="D23" i="16" l="1"/>
  <c r="D19" i="16"/>
  <c r="D18" i="16"/>
  <c r="D16" i="16"/>
  <c r="D15" i="16"/>
  <c r="D14" i="16"/>
  <c r="D13" i="16"/>
  <c r="D12" i="16"/>
  <c r="D10" i="16"/>
  <c r="C21" i="16"/>
  <c r="C19" i="16"/>
  <c r="C18" i="16"/>
  <c r="C16" i="16"/>
  <c r="C15" i="16"/>
  <c r="C14" i="16"/>
  <c r="C13" i="16"/>
  <c r="C12" i="16"/>
  <c r="M15" i="12"/>
  <c r="J15" i="12"/>
  <c r="F15" i="12"/>
  <c r="P6" i="22"/>
  <c r="D20" i="31" l="1"/>
  <c r="C20" i="31"/>
  <c r="D16" i="31"/>
  <c r="C16" i="31"/>
  <c r="P17" i="22" l="1"/>
  <c r="P16" i="22"/>
  <c r="P15" i="22"/>
  <c r="P14" i="22"/>
  <c r="P13" i="22"/>
  <c r="P12" i="22"/>
  <c r="P11" i="22"/>
  <c r="P10" i="22"/>
  <c r="P9" i="22"/>
  <c r="P8" i="22"/>
  <c r="P7" i="22"/>
  <c r="P4" i="22"/>
  <c r="P10" i="12" l="1"/>
  <c r="C10" i="16" s="1"/>
  <c r="P49" i="12"/>
  <c r="P45" i="12"/>
  <c r="P44" i="12"/>
  <c r="P43" i="12"/>
  <c r="P42" i="12"/>
  <c r="P41" i="12"/>
  <c r="P40" i="12"/>
  <c r="P39" i="12"/>
  <c r="P38" i="12"/>
  <c r="P37" i="12"/>
  <c r="P35" i="12"/>
  <c r="P34" i="12"/>
  <c r="P33" i="12"/>
  <c r="P32" i="12"/>
  <c r="P31" i="12"/>
  <c r="P30" i="12"/>
  <c r="P29" i="12"/>
  <c r="P28" i="12"/>
  <c r="P27" i="12"/>
  <c r="P26" i="12"/>
  <c r="P24" i="12"/>
  <c r="P23" i="12"/>
  <c r="P22" i="12"/>
  <c r="P20" i="12"/>
  <c r="P19" i="12"/>
  <c r="P18" i="12"/>
  <c r="P11" i="12"/>
  <c r="P8" i="12"/>
  <c r="P7" i="12"/>
  <c r="P5" i="12"/>
  <c r="P4" i="12"/>
  <c r="C23" i="16" l="1"/>
  <c r="E23" i="16" s="1"/>
  <c r="F23" i="16" s="1"/>
  <c r="E19" i="16"/>
  <c r="F19" i="16" s="1"/>
  <c r="E15" i="16"/>
  <c r="F15" i="16" s="1"/>
  <c r="E12" i="16"/>
  <c r="F12" i="16" s="1"/>
  <c r="E16" i="16"/>
  <c r="F16" i="16" s="1"/>
  <c r="E13" i="16"/>
  <c r="F13" i="16" s="1"/>
  <c r="E10" i="16"/>
  <c r="F10" i="16" s="1"/>
  <c r="E14" i="16"/>
  <c r="F14" i="16" s="1"/>
  <c r="E18" i="16"/>
  <c r="F18" i="16" s="1"/>
  <c r="I17" i="12" l="1"/>
  <c r="H25" i="21" l="1"/>
  <c r="G25" i="21" l="1"/>
  <c r="E105" i="11" l="1"/>
  <c r="C56" i="16" s="1"/>
  <c r="D105" i="11"/>
  <c r="D56" i="16" s="1"/>
  <c r="E92" i="11"/>
  <c r="C55" i="16" s="1"/>
  <c r="D92" i="11"/>
  <c r="E82" i="11"/>
  <c r="C54" i="16" s="1"/>
  <c r="D82" i="11"/>
  <c r="D54" i="16" s="1"/>
  <c r="E77" i="11"/>
  <c r="C53" i="16" s="1"/>
  <c r="D77" i="11"/>
  <c r="D53" i="16" s="1"/>
  <c r="E72" i="11"/>
  <c r="C51" i="16" s="1"/>
  <c r="D72" i="11"/>
  <c r="D51" i="16" s="1"/>
  <c r="E58" i="11"/>
  <c r="C48" i="16" s="1"/>
  <c r="D58" i="11"/>
  <c r="D48" i="16" s="1"/>
  <c r="E48" i="11"/>
  <c r="C46" i="16" s="1"/>
  <c r="D48" i="11"/>
  <c r="D46" i="16" s="1"/>
  <c r="E39" i="11"/>
  <c r="C45" i="16" s="1"/>
  <c r="D39" i="11"/>
  <c r="D45" i="16" s="1"/>
  <c r="E31" i="11"/>
  <c r="C44" i="16" s="1"/>
  <c r="D31" i="11"/>
  <c r="D44" i="16" s="1"/>
  <c r="E20" i="11"/>
  <c r="C42" i="16" s="1"/>
  <c r="D20" i="11"/>
  <c r="D42" i="16" s="1"/>
  <c r="E12" i="11"/>
  <c r="C41" i="16" s="1"/>
  <c r="D12" i="11"/>
  <c r="D41" i="16" s="1"/>
  <c r="E4" i="11"/>
  <c r="C40" i="16" s="1"/>
  <c r="D4" i="11"/>
  <c r="D40" i="16" s="1"/>
  <c r="H17" i="12"/>
  <c r="G17" i="12"/>
  <c r="E42" i="16" l="1"/>
  <c r="F42" i="16" s="1"/>
  <c r="E51" i="16"/>
  <c r="F51" i="16" s="1"/>
  <c r="E48" i="16"/>
  <c r="F48" i="16" s="1"/>
  <c r="E41" i="16"/>
  <c r="F41" i="16" s="1"/>
  <c r="D55" i="16"/>
  <c r="E55" i="16" s="1"/>
  <c r="F55" i="16" s="1"/>
  <c r="E56" i="16"/>
  <c r="F56" i="16" s="1"/>
  <c r="E53" i="16"/>
  <c r="F53" i="16" s="1"/>
  <c r="E54" i="16"/>
  <c r="F54" i="16" s="1"/>
  <c r="E40" i="16"/>
  <c r="F40" i="16" s="1"/>
  <c r="E46" i="16"/>
  <c r="F46" i="16" s="1"/>
  <c r="E45" i="16"/>
  <c r="F45" i="16" s="1"/>
  <c r="E44" i="16"/>
  <c r="F44" i="16" s="1"/>
  <c r="D76" i="11"/>
  <c r="D52" i="16" s="1"/>
  <c r="D3" i="11"/>
  <c r="D39" i="16" s="1"/>
  <c r="E3" i="11"/>
  <c r="C39" i="16" s="1"/>
  <c r="E76" i="11"/>
  <c r="C52" i="16" s="1"/>
  <c r="E52" i="16" l="1"/>
  <c r="F52" i="16" s="1"/>
  <c r="E39" i="16"/>
  <c r="F39" i="16" s="1"/>
  <c r="G21" i="12" l="1"/>
  <c r="B27" i="16" l="1"/>
  <c r="B28" i="16"/>
  <c r="B29" i="16"/>
  <c r="B30" i="16"/>
  <c r="B31" i="16"/>
  <c r="B26" i="16"/>
  <c r="D26" i="16" l="1"/>
  <c r="C26" i="16"/>
  <c r="C28" i="16"/>
  <c r="D28" i="16"/>
  <c r="D31" i="16"/>
  <c r="C31" i="16"/>
  <c r="D30" i="16"/>
  <c r="C30" i="16"/>
  <c r="D29" i="16"/>
  <c r="C29" i="16"/>
  <c r="J25" i="21"/>
  <c r="I25" i="21"/>
  <c r="F25" i="21"/>
  <c r="O46" i="12" l="1"/>
  <c r="N46" i="12"/>
  <c r="M46" i="12"/>
  <c r="L46" i="12"/>
  <c r="K46" i="12"/>
  <c r="J46" i="12"/>
  <c r="I46" i="12"/>
  <c r="H46" i="12"/>
  <c r="G46" i="12"/>
  <c r="F46" i="12"/>
  <c r="E46" i="12"/>
  <c r="D4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O21" i="12"/>
  <c r="N21" i="12"/>
  <c r="M21" i="12"/>
  <c r="L21" i="12"/>
  <c r="K21" i="12"/>
  <c r="J21" i="12"/>
  <c r="I21" i="12"/>
  <c r="H21" i="12"/>
  <c r="F21" i="12"/>
  <c r="E21" i="12"/>
  <c r="D21" i="12"/>
  <c r="O17" i="12"/>
  <c r="N17" i="12"/>
  <c r="M17" i="12"/>
  <c r="L17" i="12"/>
  <c r="K17" i="12"/>
  <c r="J17" i="12"/>
  <c r="F17" i="12"/>
  <c r="E17" i="12"/>
  <c r="D17" i="12"/>
  <c r="O9" i="12"/>
  <c r="N9" i="12"/>
  <c r="M9" i="12"/>
  <c r="L9" i="12"/>
  <c r="K9" i="12"/>
  <c r="J9" i="12"/>
  <c r="I9" i="12"/>
  <c r="H9" i="12"/>
  <c r="G9" i="12"/>
  <c r="F9" i="12"/>
  <c r="E9" i="12"/>
  <c r="D9" i="12"/>
  <c r="O6" i="12"/>
  <c r="N6" i="12"/>
  <c r="M6" i="12"/>
  <c r="L6" i="12"/>
  <c r="K6" i="12"/>
  <c r="J6" i="12"/>
  <c r="I6" i="12"/>
  <c r="H6" i="12"/>
  <c r="G6" i="12"/>
  <c r="F6" i="12"/>
  <c r="E6" i="12"/>
  <c r="D6" i="12"/>
  <c r="I25" i="12" l="1"/>
  <c r="E25" i="12"/>
  <c r="F47" i="12"/>
  <c r="G47" i="12"/>
  <c r="H47" i="12"/>
  <c r="I47" i="12"/>
  <c r="J47" i="12"/>
  <c r="K47" i="12"/>
  <c r="L47" i="12"/>
  <c r="M47" i="12"/>
  <c r="N47" i="12"/>
  <c r="O47" i="12"/>
  <c r="F25" i="12"/>
  <c r="G25" i="12"/>
  <c r="H25" i="12"/>
  <c r="J25" i="12"/>
  <c r="K25" i="12"/>
  <c r="L25" i="12"/>
  <c r="M25" i="12"/>
  <c r="N25" i="12"/>
  <c r="O25" i="12"/>
  <c r="D47" i="12"/>
  <c r="E47" i="12"/>
  <c r="D25" i="12"/>
  <c r="J48" i="12" l="1"/>
  <c r="J50" i="12" s="1"/>
  <c r="F48" i="12"/>
  <c r="F50" i="12" s="1"/>
  <c r="K48" i="12"/>
  <c r="K50" i="12" s="1"/>
  <c r="G48" i="12"/>
  <c r="G50" i="12" s="1"/>
  <c r="O48" i="12"/>
  <c r="O50" i="12" s="1"/>
  <c r="H48" i="12"/>
  <c r="H50" i="12" s="1"/>
  <c r="E48" i="12"/>
  <c r="E50" i="12" s="1"/>
  <c r="M48" i="12"/>
  <c r="M50" i="12" s="1"/>
  <c r="I48" i="12"/>
  <c r="N48" i="12"/>
  <c r="N50" i="12" s="1"/>
  <c r="L48" i="12"/>
  <c r="L50" i="12" s="1"/>
  <c r="D48" i="12"/>
  <c r="I50" i="12" l="1"/>
  <c r="D50" i="12"/>
  <c r="F4" i="3" l="1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H13" i="3" s="1"/>
  <c r="F14" i="3"/>
  <c r="H14" i="3" s="1"/>
  <c r="F3" i="3"/>
  <c r="H3" i="3" s="1"/>
  <c r="H27" i="3" l="1"/>
  <c r="E29" i="16" l="1"/>
  <c r="F29" i="16" s="1"/>
  <c r="E30" i="16"/>
  <c r="F30" i="16" s="1"/>
  <c r="E31" i="16"/>
  <c r="F31" i="16" s="1"/>
  <c r="E26" i="16"/>
  <c r="F26" i="16" s="1"/>
  <c r="P17" i="12"/>
  <c r="C11" i="16" s="1"/>
  <c r="C9" i="12"/>
  <c r="D9" i="16" s="1"/>
  <c r="C21" i="12"/>
  <c r="C46" i="12"/>
  <c r="C17" i="12"/>
  <c r="C36" i="12"/>
  <c r="C6" i="12"/>
  <c r="D8" i="16" s="1"/>
  <c r="P46" i="12"/>
  <c r="P36" i="12"/>
  <c r="P9" i="12"/>
  <c r="C9" i="16" s="1"/>
  <c r="P21" i="12"/>
  <c r="C17" i="16" s="1"/>
  <c r="P6" i="12"/>
  <c r="C8" i="16" s="1"/>
  <c r="D11" i="16" l="1"/>
  <c r="E11" i="16" s="1"/>
  <c r="F11" i="16" s="1"/>
  <c r="D17" i="16"/>
  <c r="E17" i="16" s="1"/>
  <c r="F17" i="16" s="1"/>
  <c r="E9" i="16"/>
  <c r="F9" i="16" s="1"/>
  <c r="E28" i="16"/>
  <c r="F28" i="16" s="1"/>
  <c r="E8" i="16"/>
  <c r="F8" i="16" s="1"/>
  <c r="C25" i="12"/>
  <c r="D20" i="16" s="1"/>
  <c r="C47" i="12"/>
  <c r="D21" i="16" s="1"/>
  <c r="P47" i="12"/>
  <c r="P25" i="12"/>
  <c r="C20" i="16" s="1"/>
  <c r="E21" i="16" l="1"/>
  <c r="F21" i="16" s="1"/>
  <c r="E20" i="16"/>
  <c r="F20" i="16" s="1"/>
  <c r="C48" i="12"/>
  <c r="P48" i="12"/>
  <c r="D3" i="31" l="1"/>
  <c r="D2" i="31" s="1"/>
  <c r="D32" i="31" s="1"/>
  <c r="C22" i="16"/>
  <c r="C3" i="31"/>
  <c r="C2" i="31" s="1"/>
  <c r="C32" i="31" s="1"/>
  <c r="D22" i="16"/>
  <c r="C50" i="12"/>
  <c r="P50" i="12"/>
  <c r="E22" i="16" l="1"/>
  <c r="F22" i="16" s="1"/>
  <c r="E71" i="11"/>
  <c r="C24" i="16"/>
  <c r="D71" i="11"/>
  <c r="D68" i="11"/>
  <c r="D24" i="16"/>
  <c r="E24" i="16" l="1"/>
  <c r="F24" i="16" s="1"/>
  <c r="E68" i="11"/>
  <c r="E63" i="11" s="1"/>
  <c r="D63" i="11"/>
  <c r="D55" i="11"/>
  <c r="D47" i="16"/>
  <c r="D30" i="11" l="1"/>
  <c r="D62" i="11" s="1"/>
  <c r="C33" i="31"/>
  <c r="D50" i="16"/>
  <c r="D49" i="16" s="1"/>
  <c r="D109" i="11"/>
  <c r="C50" i="16"/>
  <c r="E109" i="11"/>
  <c r="D43" i="16" l="1"/>
  <c r="D38" i="16" s="1"/>
  <c r="C5" i="22"/>
  <c r="D27" i="16" s="1"/>
  <c r="E50" i="16"/>
  <c r="F50" i="16" s="1"/>
  <c r="C49" i="16"/>
  <c r="E49" i="16" s="1"/>
  <c r="F49" i="16" s="1"/>
  <c r="E55" i="11" l="1"/>
  <c r="D33" i="31" s="1"/>
  <c r="C47" i="16"/>
  <c r="E47" i="16" s="1"/>
  <c r="F47" i="16" s="1"/>
  <c r="E30" i="11" l="1"/>
  <c r="P5" i="22" s="1"/>
  <c r="C27" i="16" s="1"/>
  <c r="E27" i="16" s="1"/>
  <c r="C43" i="16"/>
  <c r="E43" i="16" s="1"/>
  <c r="F43" i="16" s="1"/>
  <c r="E62" i="11"/>
  <c r="C38" i="16" l="1"/>
  <c r="E38" i="16" s="1"/>
  <c r="F38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Dervadelin Gergely</author>
  </authors>
  <commentList>
    <comment ref="B4" authorId="0" shapeId="0" xr:uid="{58A6BEF0-5B46-49CB-9287-2685B44AB98F}">
      <text>
        <r>
          <rPr>
            <sz val="9"/>
            <color indexed="81"/>
            <rFont val="Tahoma"/>
            <family val="2"/>
            <charset val="238"/>
          </rPr>
          <t>Minta sor.</t>
        </r>
      </text>
    </comment>
  </commentList>
</comments>
</file>

<file path=xl/sharedStrings.xml><?xml version="1.0" encoding="utf-8"?>
<sst xmlns="http://schemas.openxmlformats.org/spreadsheetml/2006/main" count="566" uniqueCount="383">
  <si>
    <t>Társaság neve</t>
  </si>
  <si>
    <t>Összesen</t>
  </si>
  <si>
    <t>2019.</t>
  </si>
  <si>
    <t>havi adatszolgáltatás</t>
  </si>
  <si>
    <t>1. havi adatszolgáltatás</t>
  </si>
  <si>
    <t>2. havi adatszolgáltatás</t>
  </si>
  <si>
    <t>3. havi adatszolgáltatás</t>
  </si>
  <si>
    <t>4. havi adatszolgáltatás</t>
  </si>
  <si>
    <t>5. havi adatszolgáltatás</t>
  </si>
  <si>
    <t>6. havi adatszolgáltatás</t>
  </si>
  <si>
    <t>7. havi adatszolgáltatás</t>
  </si>
  <si>
    <t>8. havi adatszolgáltatás</t>
  </si>
  <si>
    <t>9. havi adatszolgáltatás</t>
  </si>
  <si>
    <t>10. havi adatszolgáltatás</t>
  </si>
  <si>
    <t>11. havi adatszolgáltatás</t>
  </si>
  <si>
    <t>12. havi adatszolgáltatás</t>
  </si>
  <si>
    <t>Adatszolgáltatás</t>
  </si>
  <si>
    <t>Dátum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</si>
  <si>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</si>
  <si>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</si>
  <si>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</si>
  <si>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</si>
  <si>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</si>
  <si>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</si>
  <si>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</si>
  <si>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</si>
  <si>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</si>
  <si>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</si>
  <si>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</si>
  <si>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</si>
  <si>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YTD</t>
  </si>
  <si>
    <t>Terv</t>
  </si>
  <si>
    <t>Tétel megnevezése</t>
  </si>
  <si>
    <t>A.</t>
  </si>
  <si>
    <t>BEFEKTETETT ESZKÖZÖK</t>
  </si>
  <si>
    <t>I.</t>
  </si>
  <si>
    <t>IMMATERIÁLIS JAVAK</t>
  </si>
  <si>
    <t>Immateriális javak értékhelyesbítése</t>
  </si>
  <si>
    <t>II.</t>
  </si>
  <si>
    <t>TÁRGYI ESZKÖZÖK</t>
  </si>
  <si>
    <t>Tárgyi eszközök értékhelyesbítése</t>
  </si>
  <si>
    <t>III.</t>
  </si>
  <si>
    <t xml:space="preserve"> Tartósan adott kölcsön kapcsolt vállalkozásban</t>
  </si>
  <si>
    <t>B.</t>
  </si>
  <si>
    <t>Követelések áruszállításból és szolgáltatásból (vevők)</t>
  </si>
  <si>
    <t>IV.</t>
  </si>
  <si>
    <t>C.</t>
  </si>
  <si>
    <t>D.</t>
  </si>
  <si>
    <t>E.</t>
  </si>
  <si>
    <t>F.</t>
  </si>
  <si>
    <t>G.</t>
  </si>
  <si>
    <t>PASSZÍV IDŐBELI ELHATÁROLÁSOK</t>
  </si>
  <si>
    <t xml:space="preserve">  </t>
  </si>
  <si>
    <t xml:space="preserve">1. </t>
  </si>
  <si>
    <t>Belföldi értékesítés nettó árbevétele</t>
  </si>
  <si>
    <t xml:space="preserve">2. </t>
  </si>
  <si>
    <t>Export értékesítés nettó árbevétele</t>
  </si>
  <si>
    <t xml:space="preserve">I. </t>
  </si>
  <si>
    <t>Értékesítés nettó árbevétele</t>
  </si>
  <si>
    <t xml:space="preserve">3. </t>
  </si>
  <si>
    <t>Saját termelésű készletek állományváltozása</t>
  </si>
  <si>
    <t xml:space="preserve">4. </t>
  </si>
  <si>
    <t>Saját előállítású eszközök aktivált értéke</t>
  </si>
  <si>
    <t xml:space="preserve">II. </t>
  </si>
  <si>
    <t>Aktivált saját teljesítmények  értéke</t>
  </si>
  <si>
    <t xml:space="preserve">III. </t>
  </si>
  <si>
    <t>Egyéb bevételek</t>
  </si>
  <si>
    <t xml:space="preserve">5. </t>
  </si>
  <si>
    <t>Anyagköltség</t>
  </si>
  <si>
    <t xml:space="preserve">6. </t>
  </si>
  <si>
    <t>Igénybe vett szolgáltatások értéke</t>
  </si>
  <si>
    <t xml:space="preserve">7. </t>
  </si>
  <si>
    <t>Egyéb szolgáltatások értéke</t>
  </si>
  <si>
    <t xml:space="preserve">8. </t>
  </si>
  <si>
    <t>Eladott áruk beszerzési értéke</t>
  </si>
  <si>
    <t xml:space="preserve">9. </t>
  </si>
  <si>
    <t>Eladott (közvetített) szolgáltatások értéke</t>
  </si>
  <si>
    <t xml:space="preserve">IV. </t>
  </si>
  <si>
    <t>Anyag jellegű ráfordítások</t>
  </si>
  <si>
    <t xml:space="preserve">10. </t>
  </si>
  <si>
    <t>Bérköltség</t>
  </si>
  <si>
    <t xml:space="preserve">11. </t>
  </si>
  <si>
    <t>Személyi jellegű egyéb kifizetések</t>
  </si>
  <si>
    <t xml:space="preserve">12. </t>
  </si>
  <si>
    <t>Bérjárulékok</t>
  </si>
  <si>
    <t xml:space="preserve">V. </t>
  </si>
  <si>
    <t>Személyi jellegű ráfordítások</t>
  </si>
  <si>
    <t xml:space="preserve">VI. </t>
  </si>
  <si>
    <t>Értékcsökkenési leírás</t>
  </si>
  <si>
    <t xml:space="preserve">VII. </t>
  </si>
  <si>
    <t>Egyéb ráfordítások</t>
  </si>
  <si>
    <t>ÜZEMI (ÜZLETI) TEVÉKENYSÉG EREDMÉNYE</t>
  </si>
  <si>
    <t xml:space="preserve">13. </t>
  </si>
  <si>
    <t>Kapott (járó) osztalék és részesedés</t>
  </si>
  <si>
    <t>13. sorból: kapcsolt vállalkozástól kapott</t>
  </si>
  <si>
    <t xml:space="preserve">14. </t>
  </si>
  <si>
    <t>Részesedésekből származó bevételek, árfolyamnyereségek</t>
  </si>
  <si>
    <t>14.sorból: kapcsolt vállalkozástól kapott</t>
  </si>
  <si>
    <t xml:space="preserve">15. </t>
  </si>
  <si>
    <t>Befektetett pü. eszk. (értékpapírokból, kölcsönökből) szárm. bev. árf. nyer.</t>
  </si>
  <si>
    <t>15. sorból: kapcsolt vállalkozástól kapott</t>
  </si>
  <si>
    <t xml:space="preserve">16. </t>
  </si>
  <si>
    <t>Egyéb kapott (járó) kamatok és kamatjellegű bevételek</t>
  </si>
  <si>
    <t>16. sorból: kapcsolt vállalkozástól kapott</t>
  </si>
  <si>
    <t xml:space="preserve">17. </t>
  </si>
  <si>
    <t>Pénzügyi műveletek egyéb bevételei</t>
  </si>
  <si>
    <t>17. sorból: értékelési külöünbözet</t>
  </si>
  <si>
    <t xml:space="preserve">VIII. </t>
  </si>
  <si>
    <t>Pénzügyi műveletek bevételei</t>
  </si>
  <si>
    <t xml:space="preserve">18. </t>
  </si>
  <si>
    <t>Részesedésekből származó ráfordítások, árfolyamveszteségek</t>
  </si>
  <si>
    <t>18.sorból: kapcsolt vállalkozásnak adott</t>
  </si>
  <si>
    <t xml:space="preserve">19. </t>
  </si>
  <si>
    <t>Befektetett pü. eszk. (értékpapírokból, kölcsönökből) szárm. ráf., árf. veszt</t>
  </si>
  <si>
    <t>19.sorból: kapcsolt vállalkozásnak adott</t>
  </si>
  <si>
    <t xml:space="preserve">20. </t>
  </si>
  <si>
    <t>Fizetendő (fizetett) kamatok és kamatjellegű ráfordítások</t>
  </si>
  <si>
    <t>20.sorból: kapcsolt vállalkozásnak adott</t>
  </si>
  <si>
    <t xml:space="preserve">21. </t>
  </si>
  <si>
    <t>Részesedések, értékpapírok, bankbetétek értékvesztése</t>
  </si>
  <si>
    <t>22.</t>
  </si>
  <si>
    <t>Pénzügyi műveletek egyéb ráfordításai</t>
  </si>
  <si>
    <t>22. sorból: értékelési különbözet</t>
  </si>
  <si>
    <t xml:space="preserve">IX. </t>
  </si>
  <si>
    <t>Pénzügyi műveletek ráfordításai</t>
  </si>
  <si>
    <t>PÉNZÜGYI MŰVELETEK EREDMÉNYE</t>
  </si>
  <si>
    <t>ADÓZÁS ELŐTTI EREDMÉNY</t>
  </si>
  <si>
    <t>X.</t>
  </si>
  <si>
    <t>Adófizetési kötelezettség</t>
  </si>
  <si>
    <t>ADÓZOTT EREDMÉNY</t>
  </si>
  <si>
    <t>Várható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</si>
  <si>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</si>
  <si>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</si>
  <si>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</si>
  <si>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</si>
  <si>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</si>
  <si>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</si>
  <si>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</si>
  <si>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</si>
  <si>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</si>
  <si>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</si>
  <si>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</si>
  <si>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</si>
  <si>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hónap</t>
  </si>
  <si>
    <t>hónap2</t>
  </si>
  <si>
    <t>H</t>
  </si>
  <si>
    <t>I</t>
  </si>
  <si>
    <t>K</t>
  </si>
  <si>
    <t>M</t>
  </si>
  <si>
    <t>O</t>
  </si>
  <si>
    <t>Q</t>
  </si>
  <si>
    <t>S</t>
  </si>
  <si>
    <t>U</t>
  </si>
  <si>
    <t>V</t>
  </si>
  <si>
    <t>Y</t>
  </si>
  <si>
    <t>AA</t>
  </si>
  <si>
    <t>N</t>
  </si>
  <si>
    <t>P</t>
  </si>
  <si>
    <t>R</t>
  </si>
  <si>
    <t>T</t>
  </si>
  <si>
    <t>W</t>
  </si>
  <si>
    <t>X</t>
  </si>
  <si>
    <t>Z</t>
  </si>
  <si>
    <t>Vezetői összefoglaló</t>
  </si>
  <si>
    <t>Közvetített szolgáltatás</t>
  </si>
  <si>
    <t xml:space="preserve">Készletekre adott előlegek </t>
  </si>
  <si>
    <t xml:space="preserve">Áruk </t>
  </si>
  <si>
    <t xml:space="preserve">Késztermékek </t>
  </si>
  <si>
    <t>Növendék-, hízó- és egyéb állatok</t>
  </si>
  <si>
    <t xml:space="preserve">Befejezetlen termelés és félkész termékek </t>
  </si>
  <si>
    <t xml:space="preserve">Anyagok </t>
  </si>
  <si>
    <t>Ingatlanok és a kapcsolódó vagyoni értékű jogok</t>
  </si>
  <si>
    <t xml:space="preserve">Műszaki berendezések, gépek, járművek </t>
  </si>
  <si>
    <t xml:space="preserve">Egyéb berendezések, felszerelések, járművek </t>
  </si>
  <si>
    <t>Tenyészállatok</t>
  </si>
  <si>
    <t xml:space="preserve">Beruházások, felújítások </t>
  </si>
  <si>
    <t xml:space="preserve">Beruházásokra adott előlegek </t>
  </si>
  <si>
    <t>Tartós részesedés kapcsolt vállalkozásban</t>
  </si>
  <si>
    <t>Tartós jelentős tulajdoni részesedés</t>
  </si>
  <si>
    <t>Tartósan adott kölcsön jelentős tulajdoni részesedési viszonyban álló vállalkozásban</t>
  </si>
  <si>
    <t>Egyéb tartós részesedés</t>
  </si>
  <si>
    <t>Tartósan adott kölcsön egyéb részesedési viszonyban álló váll.</t>
  </si>
  <si>
    <t>Egyéb tartósan adott kölcsön</t>
  </si>
  <si>
    <t>Tartós hitelviszonyt megtestesítő értékpapír</t>
  </si>
  <si>
    <t>Befektetett pénzügyi eszközök értékhelyesbítése</t>
  </si>
  <si>
    <t xml:space="preserve">Alapítás - átszervezés aktivált értéke </t>
  </si>
  <si>
    <t xml:space="preserve">Kísérleti fejlesztés aktivált értéke </t>
  </si>
  <si>
    <t xml:space="preserve">Vagyoni értékű jogok </t>
  </si>
  <si>
    <t xml:space="preserve">Szellemi termékek </t>
  </si>
  <si>
    <t xml:space="preserve">Üzleti vagy cégérték </t>
  </si>
  <si>
    <t>Immateriális javakra adott előlegek</t>
  </si>
  <si>
    <t>Követelések kapcsolt vállalkozásokkal szemben</t>
  </si>
  <si>
    <t>Követelések egyéb részesedési viszonyban lévő váll. szemben</t>
  </si>
  <si>
    <t>Követelések jelentős tulajdoni részesedési viszonyban lévő vállalkozással szemben</t>
  </si>
  <si>
    <t>Váltókövetelések</t>
  </si>
  <si>
    <t>Egyéb követelések</t>
  </si>
  <si>
    <t>Követelések értékelési különbözete</t>
  </si>
  <si>
    <t>Származékos ügyletek pozitív értékelési különbözete</t>
  </si>
  <si>
    <t>Részesedés kapcsolt vállalkozásban</t>
  </si>
  <si>
    <t>Jelentős tulajdoni részesedés</t>
  </si>
  <si>
    <t>Egyéb részesedés</t>
  </si>
  <si>
    <t>Saját részvények, saját üzletrészek</t>
  </si>
  <si>
    <t>Forgatási célú hitelviszonyt megtestesítő értékpapírok</t>
  </si>
  <si>
    <t>Értékpapírok értékelési különbözete</t>
  </si>
  <si>
    <t xml:space="preserve">Pénztár, csekkek </t>
  </si>
  <si>
    <t xml:space="preserve">Bankbetétek </t>
  </si>
  <si>
    <t>Bevételek aktív időbeli elhatárolása</t>
  </si>
  <si>
    <t>Költségek, ráfordítások aktív időbeli elhatárolása</t>
  </si>
  <si>
    <t>Halasztott ráfordítások</t>
  </si>
  <si>
    <t xml:space="preserve">Jegyzett tőke  </t>
  </si>
  <si>
    <t>Ebből:  visszavásárolt tulajdonosi részesedés névértéken</t>
  </si>
  <si>
    <t>Jegyzett, de még be nem fizetett tőke (-)</t>
  </si>
  <si>
    <t xml:space="preserve">Tőketartalék </t>
  </si>
  <si>
    <t xml:space="preserve">Eredménytartalék </t>
  </si>
  <si>
    <t>Lekötött tartalék</t>
  </si>
  <si>
    <t>Értékelési tartalék</t>
  </si>
  <si>
    <t>Adózott eredmény</t>
  </si>
  <si>
    <t xml:space="preserve">Céltartalék a várható kötelezettségekre </t>
  </si>
  <si>
    <t xml:space="preserve">Céltartalék a jövőbeni költségekre </t>
  </si>
  <si>
    <t xml:space="preserve">Egyéb céltartalék </t>
  </si>
  <si>
    <t>Hátrasorolt kötelezettségek kapcsolt vállalkozással szemben</t>
  </si>
  <si>
    <t>Hátrasorolt kötelezettségek jelentős tulajdoni viszonyban lévő vállalkozással szemben</t>
  </si>
  <si>
    <t>Hátrasorolt kötelezettségek egyéb rész. viszonyban lévő váll. szemben</t>
  </si>
  <si>
    <t>Hátrasorolt kötelezettségek egyéb gazdálkodóval szemben</t>
  </si>
  <si>
    <t xml:space="preserve">Hosszú lejáratra kapott kölcsönök </t>
  </si>
  <si>
    <t>Átváltoztatható kötvények</t>
  </si>
  <si>
    <t xml:space="preserve">Tartozások kötvénykibocsátásból </t>
  </si>
  <si>
    <t xml:space="preserve">Beruházási és fejlesztési hitelek </t>
  </si>
  <si>
    <t xml:space="preserve">Egyéb hosszú lejáratú hitelek </t>
  </si>
  <si>
    <t>Tartós kötelezettségek kapcsolt vállalkozással szemben</t>
  </si>
  <si>
    <t>Tartós kötelezettségek jelentős tulajdoni részesedési viszonyban lévő vállalkozásokkal szemben</t>
  </si>
  <si>
    <t>Tartós kötelezettségek egyéb rész. visz. lévő váll. szemben</t>
  </si>
  <si>
    <t>Egyéb hosszú lejáratú kötelezettségek</t>
  </si>
  <si>
    <t xml:space="preserve">Rövid lejáratú kölcsönök </t>
  </si>
  <si>
    <t>Ebből: az átváltoztatható kötvények</t>
  </si>
  <si>
    <t xml:space="preserve">Rövid lejáratú hitelek </t>
  </si>
  <si>
    <t>Vevőtől kapott előlegek</t>
  </si>
  <si>
    <t>Kötelezettségek áruszállításból és szolgáltatásból (szállítók )</t>
  </si>
  <si>
    <t xml:space="preserve">Váltótartozások </t>
  </si>
  <si>
    <t>Rövid lejáratú kötelezettségek kapcsolt vállalkozással szemben</t>
  </si>
  <si>
    <t>Rövid lej. köt. jelentős tulajdoni rész. visz. lévő vállalkozásokkal szemben</t>
  </si>
  <si>
    <t>Rövid lejáratú kötelezettségek egyéb rész. visz. lévő váll.szemben</t>
  </si>
  <si>
    <t>Egyéb rövid lejáratú kötelezettségek</t>
  </si>
  <si>
    <t>Kötelezettségek értékelési különbözete</t>
  </si>
  <si>
    <t>Származékos ügyletek negatív értékelési különbözete</t>
  </si>
  <si>
    <t>Bevételek passzív időbeli elhatárolása</t>
  </si>
  <si>
    <t>Költségek, ráfordítások passzív időbeli elhatárolása</t>
  </si>
  <si>
    <t>Halasztott bevételek</t>
  </si>
  <si>
    <t>BEFEKTETETT PÉNZÜGYI ESZKÖZÖK</t>
  </si>
  <si>
    <t>FORGÓESZKÖZÖK</t>
  </si>
  <si>
    <t>KÉSZLETEK</t>
  </si>
  <si>
    <t>KÖVETELÉSEK</t>
  </si>
  <si>
    <t>ÉRTÉKPAPÍROK</t>
  </si>
  <si>
    <t>PÉNZESZKÖZÖK</t>
  </si>
  <si>
    <t xml:space="preserve">AKTÍV IDŐBELI ELHATÁROLÁSOK </t>
  </si>
  <si>
    <t>ESZKÖZÖK (AKTÍVÁK) ÖSSZESEN</t>
  </si>
  <si>
    <t>SAJÁT TŐKE</t>
  </si>
  <si>
    <t>CÉLTARTALÉKOK</t>
  </si>
  <si>
    <t>KÖTELEZETTSÉGEK</t>
  </si>
  <si>
    <t xml:space="preserve">HÁTRASOROLT KÖTELEZETTSÉGEK </t>
  </si>
  <si>
    <t xml:space="preserve">HOSSZÚ LEJÁRATÚ KÖTELEZETTSÉGEK </t>
  </si>
  <si>
    <t>RÖVID LEJÁRATÚ KÖTELEZETTSÉGEK</t>
  </si>
  <si>
    <t>FORRÁSOK (PASSZÍVÁK) ÖSSZESEN</t>
  </si>
  <si>
    <t>III. sorból: visszaírt értékvesztés</t>
  </si>
  <si>
    <t>VII. sorból: értékvesztés</t>
  </si>
  <si>
    <t>KPI2</t>
  </si>
  <si>
    <t>ezer Ft</t>
  </si>
  <si>
    <t>ESZKÖZÖK</t>
  </si>
  <si>
    <t>FORRÁSOK</t>
  </si>
  <si>
    <t>KPI3</t>
  </si>
  <si>
    <t>Mutató</t>
  </si>
  <si>
    <t>2018 EK tény</t>
  </si>
  <si>
    <t>C</t>
  </si>
  <si>
    <t>D</t>
  </si>
  <si>
    <t>E</t>
  </si>
  <si>
    <t>F</t>
  </si>
  <si>
    <t>G</t>
  </si>
  <si>
    <t>L</t>
  </si>
  <si>
    <t>J</t>
  </si>
  <si>
    <t>2019 EK tény</t>
  </si>
  <si>
    <t>2019 EK terv</t>
  </si>
  <si>
    <t>2019 Mérleg</t>
  </si>
  <si>
    <t>2018 KPI</t>
  </si>
  <si>
    <t>2019 KPI terv</t>
  </si>
  <si>
    <t>2019 KPI tény</t>
  </si>
  <si>
    <t>AB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</si>
  <si>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</si>
  <si>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</si>
  <si>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</si>
  <si>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</si>
  <si>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</si>
  <si>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</si>
  <si>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</si>
  <si>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</si>
  <si>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</si>
  <si>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</si>
  <si>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</si>
  <si>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</si>
  <si>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Beruházások (eFt)</t>
  </si>
  <si>
    <t>Likviditás (%)</t>
  </si>
  <si>
    <t>Létszám záró (fő)</t>
  </si>
  <si>
    <t>EK terv</t>
  </si>
  <si>
    <t>Mutatók</t>
  </si>
  <si>
    <t>KPI1</t>
  </si>
  <si>
    <t>Változás</t>
  </si>
  <si>
    <t>Támogatás megnevezése</t>
  </si>
  <si>
    <t>Támogatás összege</t>
  </si>
  <si>
    <t>Támogatás felhasználásának határideje</t>
  </si>
  <si>
    <t>Támogatások</t>
  </si>
  <si>
    <t>Támogatási időszak kezdete</t>
  </si>
  <si>
    <t>Kitöltési információk</t>
  </si>
  <si>
    <t>Mérleg terv</t>
  </si>
  <si>
    <t>Támogatás alapja
(jogszabály, kormánydöntés, operatív program stb.)</t>
  </si>
  <si>
    <t>Megjegyzés</t>
  </si>
  <si>
    <t>EREDMÉNYKIMUTATÁS</t>
  </si>
  <si>
    <t>MÉRLEG</t>
  </si>
  <si>
    <t>-</t>
  </si>
  <si>
    <t xml:space="preserve">Megnevezés </t>
  </si>
  <si>
    <t>Szokásos tevékenységből származó pénzeszköz-változás (Működési cash-flow 1-13. sorok)</t>
  </si>
  <si>
    <t>Adózás előtti eredmény (+-)</t>
  </si>
  <si>
    <t>Elszámolt amortizáció (+)</t>
  </si>
  <si>
    <t>Elszámolt értékvesztés és visszaírás (+-)</t>
  </si>
  <si>
    <t>Céltartalék képzés és felhasználás (+-)</t>
  </si>
  <si>
    <t>Befektetett eszközök értékesítésének eredménye (nyereség-, veszteség+)</t>
  </si>
  <si>
    <t>Szállítói kötelezettség változása (+-)</t>
  </si>
  <si>
    <t>Egyéb rövid lejáratú kötelezettség változása (+-)</t>
  </si>
  <si>
    <t>Passzív edőbeli elhatárolás változása (+-)</t>
  </si>
  <si>
    <t>Vevőkövetelés változása (+-)</t>
  </si>
  <si>
    <t>Forgóeszközök (vevőköv. És pénzeszköz nélkül) változása (+-)</t>
  </si>
  <si>
    <t>Aktív időbeli elhatárolás változása (+-)</t>
  </si>
  <si>
    <t>Fizetett, fizetendő adó (nyereség után) (-)</t>
  </si>
  <si>
    <t>Fizetett, fizetendő osztalék, részesedés (-)</t>
  </si>
  <si>
    <t>Befektetési tevékenységből származó pénzeszköz-változás (Befektetési cash-flow 14-16. sor)</t>
  </si>
  <si>
    <t>Befektetett eszközök beszerzése (-)</t>
  </si>
  <si>
    <t>Befektetett eszközök eladás (+)</t>
  </si>
  <si>
    <t>Kapott osztalék, részesedés (+)</t>
  </si>
  <si>
    <t>Pénzügyi műveletekből származó pénzeszköz-változás (Finanszírozási cash-flow 17-27. sorok)</t>
  </si>
  <si>
    <t>Részvénykibocsátás, tőkebevonás bevétele (+)</t>
  </si>
  <si>
    <t>Kötvény, hitelviszonyt megtestesítő értékpapír kibocsátásának árbevétele (+)</t>
  </si>
  <si>
    <t>Hitel és kölcsön felvétele (+)</t>
  </si>
  <si>
    <t>Hosszú lejáratra nyújtott kölcsönök és elh. bankbetétek törlesztése, megszűnt., bevált. (+)</t>
  </si>
  <si>
    <t>Véglegesen kapott pénzeszköz (+)</t>
  </si>
  <si>
    <t>Részvénybevonás, tőkekivonás (tőkeleszállítás) (-)</t>
  </si>
  <si>
    <t>Kötvény és hitelviszonyt megtestesítő értékpapír visszafizetése (-)</t>
  </si>
  <si>
    <t>Hitel és kölcsön törlesztése és visszafizetése (-)</t>
  </si>
  <si>
    <t>Hosszú lejáratra nyújtott kölcsönök és elhelyezett bankbetétek (-)</t>
  </si>
  <si>
    <t>Véglegesen átadott pénzeszköz (-)</t>
  </si>
  <si>
    <t>Alapítókkal szembeni, illetve egyéb hosszú lejáratú kötelezettségek változása (+-)</t>
  </si>
  <si>
    <t>Pénzeszközök változása (I+II+III. sorok)</t>
  </si>
  <si>
    <t>Szükséges adatok:
- Támogatás alapja, amely lehet jogszabály, kormányhatározat, operatív program stb.
- Támogatási időszak kezdete: a TSZ hatálybalépésének dátuma
- Támogatás felhasználásának határideje: TSZ szerinti szakmai megvalósítás határideje
- Támogatási összeg felhasznlásának ütemezése</t>
  </si>
  <si>
    <t>Cash flow terv</t>
  </si>
  <si>
    <t>2025.
Terv</t>
  </si>
  <si>
    <t>2024.
Várható</t>
  </si>
  <si>
    <t>2025. január</t>
  </si>
  <si>
    <t>2025. február</t>
  </si>
  <si>
    <t>2025. március</t>
  </si>
  <si>
    <t>2025. április</t>
  </si>
  <si>
    <t>2025. május</t>
  </si>
  <si>
    <t>2025. június</t>
  </si>
  <si>
    <t>2025. július</t>
  </si>
  <si>
    <t>2025. augusztus</t>
  </si>
  <si>
    <t>2025. szeptember</t>
  </si>
  <si>
    <t>2025. október</t>
  </si>
  <si>
    <t>2025.november</t>
  </si>
  <si>
    <t>2025. december</t>
  </si>
  <si>
    <t>2025. november</t>
  </si>
  <si>
    <t>2025. YTD</t>
  </si>
  <si>
    <t>2024.12.31
Várható</t>
  </si>
  <si>
    <t>2025.12.31
Terv</t>
  </si>
  <si>
    <t>Mérleghez kitöltendő:
- 2024.12.31-i várható mérleg adatok
- 2025. évi tervezett mérleg</t>
  </si>
  <si>
    <t>Számviteli cash flow.
2024. évi várható cash flow adatokkal és a 2025. évi cash flow tervvel szükséges felölteni.</t>
  </si>
  <si>
    <t>Szükséges adatok:
- Beruházások: 2024.12.31-i várható beruházásösszeg és a 2025. évi havi bontású beruházási terv megadása szükséges ezer forintban.
- Likviditás: képletezett adat, forgó eszközök / rövid lejáratú kötelezettségek képlet alapján számítódik.
- Létszámterv: 2024.12.31-i várható zárólétszám és a 2025. évi havi bontású létszámterv megadása szükséges.
- KPI-ok: A Társaság szempontjából jelentős teljesítménymutatók 2024.12.31-i várható értéke, valamint a 2025. évi havi tervek megadása szükséges.</t>
  </si>
  <si>
    <t>Eredménykimutatáshoz kitöltendő: 
- 2024.12.31-i várható értékek
- 2025. évi tervezett eredmény havi bontásban</t>
  </si>
  <si>
    <r>
      <rPr>
        <u/>
        <sz val="10"/>
        <rFont val="Century Gothic"/>
        <family val="2"/>
        <charset val="238"/>
        <scheme val="minor"/>
      </rPr>
      <t>Képletezett munkalap</t>
    </r>
    <r>
      <rPr>
        <sz val="10"/>
        <rFont val="Century Gothic"/>
        <family val="2"/>
        <charset val="238"/>
        <scheme val="minor"/>
      </rPr>
      <t>, az eredménykimutatás, a mérleg és a mutatók fő sorait összegzi, 2024. évi várható és 2025. évi tervezett adatok közötti változást nominálisan és százalékosan is mutatja.</t>
    </r>
  </si>
  <si>
    <t>2024. évi működési támogatás</t>
  </si>
  <si>
    <t>HÉVÍZ-BALATON AIRPORT rendszeres légiforgalom kiszolgálásához szükséges fejlesztések, eszköz beszerzések</t>
  </si>
  <si>
    <t>ET-2023-02-030</t>
  </si>
  <si>
    <t>2025. évi ktg.vetésről szóló …. Tv</t>
  </si>
  <si>
    <t>vagyonkezelésre történő kijelöléssel öf. Ktg.-k fedezetére (helyi adók) nyújtott támogatás</t>
  </si>
  <si>
    <t>2025. év előtt felhasznált összeg</t>
  </si>
  <si>
    <t>2025. évben várhatóan felhasznált összeg</t>
  </si>
  <si>
    <t>2026. évi tervezett felhasználás</t>
  </si>
  <si>
    <t>2026. évet követően felhasználásra kerülő 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</si>
</sst>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Ft&quot;_-;\-* #,##0.00\ &quot;Ft&quot;_-;_-* &quot;-&quot;??\ &quot;Ft&quot;_-;_-@_-"/>
    <numFmt numFmtId="164" formatCode="_-* #,##0.00\ _F_t_-;\-* #,##0.00\ _F_t_-;_-* &quot;-&quot;??\ _F_t_-;_-@_-"/>
    <numFmt numFmtId="165" formatCode="yyyy/mmm"/>
    <numFmt numFmtId="166" formatCode="_-* #,##0\ _F_t_-;\-* #,##0\ _F_t_-;_-* &quot;-&quot;??\ _F_t_-;_-@_-"/>
    <numFmt numFmtId="167" formatCode="#,##0_ ;\-#,##0\ "/>
  </numFmts>
  <fonts count="49" x14ac:knownFonts="1"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8"/>
      <name val="Calibri Light"/>
      <family val="2"/>
      <charset val="238"/>
    </font>
    <font>
      <b/>
      <sz val="11"/>
      <name val="Calibri Light"/>
      <family val="2"/>
      <charset val="238"/>
    </font>
    <font>
      <sz val="11"/>
      <name val="Calibri Light"/>
      <family val="2"/>
      <charset val="238"/>
    </font>
    <font>
      <b/>
      <sz val="9"/>
      <name val="Calibri Light"/>
      <family val="2"/>
      <charset val="238"/>
    </font>
    <font>
      <sz val="9"/>
      <name val="Calibri Light"/>
      <family val="2"/>
      <charset val="238"/>
    </font>
    <font>
      <sz val="9"/>
      <color theme="1"/>
      <name val="Calibri Light"/>
      <family val="2"/>
      <charset val="238"/>
    </font>
    <font>
      <sz val="8"/>
      <name val="Calibri Light"/>
      <family val="2"/>
      <charset val="238"/>
    </font>
    <font>
      <sz val="8"/>
      <color theme="1"/>
      <name val="Calibri Light"/>
      <family val="2"/>
      <charset val="238"/>
    </font>
    <font>
      <b/>
      <sz val="18"/>
      <color theme="1"/>
      <name val="Calibri Light"/>
      <family val="2"/>
      <charset val="238"/>
    </font>
    <font>
      <b/>
      <sz val="11"/>
      <color theme="0"/>
      <name val="Calibri Light"/>
      <family val="2"/>
      <charset val="238"/>
    </font>
    <font>
      <b/>
      <sz val="12"/>
      <color theme="1"/>
      <name val="Calibri Light"/>
      <family val="2"/>
      <charset val="238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sz val="9"/>
      <name val="Calibri"/>
      <family val="2"/>
      <charset val="238"/>
    </font>
    <font>
      <b/>
      <sz val="8"/>
      <color theme="0"/>
      <name val="Calibri Light"/>
      <family val="2"/>
      <charset val="238"/>
    </font>
    <font>
      <sz val="10"/>
      <color theme="1"/>
      <name val="Calibri Light"/>
      <family val="2"/>
      <charset val="238"/>
    </font>
    <font>
      <b/>
      <sz val="14"/>
      <color theme="1"/>
      <name val="Calibri Light"/>
      <family val="2"/>
      <charset val="238"/>
    </font>
    <font>
      <b/>
      <sz val="14"/>
      <name val="Calibri Light"/>
      <family val="2"/>
      <charset val="238"/>
    </font>
    <font>
      <b/>
      <sz val="10"/>
      <color theme="0"/>
      <name val="Calibri Light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9"/>
      <name val="Calibri Light"/>
      <family val="2"/>
      <charset val="238"/>
    </font>
    <font>
      <b/>
      <sz val="10"/>
      <color theme="1"/>
      <name val="Century Gothic"/>
      <family val="2"/>
      <charset val="238"/>
      <scheme val="minor"/>
    </font>
    <font>
      <b/>
      <sz val="11"/>
      <color theme="1"/>
      <name val="Century Gothic"/>
      <family val="2"/>
      <charset val="238"/>
      <scheme val="minor"/>
    </font>
    <font>
      <b/>
      <u/>
      <sz val="16"/>
      <color theme="1"/>
      <name val="Century Gothic"/>
      <family val="2"/>
      <charset val="238"/>
      <scheme val="minor"/>
    </font>
    <font>
      <i/>
      <sz val="10"/>
      <color theme="1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  <scheme val="minor"/>
    </font>
    <font>
      <b/>
      <u/>
      <sz val="11"/>
      <color theme="8" tint="-0.249977111117893"/>
      <name val="Century Gothic"/>
      <family val="2"/>
      <charset val="238"/>
      <scheme val="minor"/>
    </font>
    <font>
      <b/>
      <sz val="14"/>
      <color theme="8" tint="-0.249977111117893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theme="1"/>
      <name val="Century Gothic"/>
      <family val="2"/>
      <scheme val="minor"/>
    </font>
    <font>
      <i/>
      <sz val="11"/>
      <color rgb="FF7F7F7F"/>
      <name val="Century Gothic"/>
      <family val="2"/>
      <charset val="238"/>
      <scheme val="minor"/>
    </font>
    <font>
      <i/>
      <sz val="11"/>
      <name val="Calibri Light"/>
      <family val="2"/>
      <charset val="238"/>
    </font>
    <font>
      <i/>
      <sz val="8"/>
      <name val="Calibri Light"/>
      <family val="2"/>
      <charset val="238"/>
    </font>
    <font>
      <b/>
      <i/>
      <sz val="10"/>
      <color theme="0"/>
      <name val="Calibri Light"/>
      <family val="2"/>
      <charset val="238"/>
    </font>
    <font>
      <sz val="10"/>
      <name val="Century Gothic"/>
      <family val="2"/>
      <charset val="238"/>
      <scheme val="minor"/>
    </font>
    <font>
      <u/>
      <sz val="10"/>
      <name val="Century Gothic"/>
      <family val="2"/>
      <charset val="238"/>
      <scheme val="minor"/>
    </font>
    <font>
      <sz val="9"/>
      <color indexed="81"/>
      <name val="Tahoma"/>
      <family val="2"/>
      <charset val="238"/>
    </font>
    <font>
      <sz val="8"/>
      <name val="Century Gothic"/>
      <family val="2"/>
      <charset val="238"/>
      <scheme val="minor"/>
    </font>
    <font>
      <sz val="11"/>
      <color theme="0" tint="-0.34998626667073579"/>
      <name val="Calibri Light"/>
      <family val="2"/>
      <charset val="238"/>
    </font>
    <font>
      <sz val="10"/>
      <color rgb="FFFF0000"/>
      <name val="Calibri Light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darkUp">
        <fgColor theme="0" tint="-0.24994659260841701"/>
        <bgColor theme="0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FFCC99"/>
      </top>
      <bottom style="thin">
        <color rgb="FFFFCC99"/>
      </bottom>
      <diagonal/>
    </border>
    <border>
      <left/>
      <right/>
      <top/>
      <bottom style="thin">
        <color rgb="FFFFCC99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rgb="FFFFCC99"/>
      </top>
      <bottom style="thin">
        <color rgb="FFFFCC99"/>
      </bottom>
      <diagonal/>
    </border>
    <border>
      <left style="thin">
        <color theme="3" tint="-0.499984740745262"/>
      </left>
      <right/>
      <top style="thin">
        <color rgb="FFFFCC99"/>
      </top>
      <bottom style="thin">
        <color rgb="FFFFCC99"/>
      </bottom>
      <diagonal/>
    </border>
    <border>
      <left style="thin">
        <color theme="3" tint="-0.499984740745262"/>
      </left>
      <right/>
      <top style="thin">
        <color rgb="FFFFCC99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/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/>
      <top style="thin">
        <color rgb="FFFFCC99"/>
      </top>
      <bottom style="thin">
        <color indexed="64"/>
      </bottom>
      <diagonal/>
    </border>
    <border>
      <left/>
      <right/>
      <top style="thin">
        <color rgb="FFFFCC99"/>
      </top>
      <bottom/>
      <diagonal/>
    </border>
    <border>
      <left/>
      <right/>
      <top style="thin">
        <color indexed="64"/>
      </top>
      <bottom style="thin">
        <color rgb="FFFFCC99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2" tint="-9.9948118533890809E-2"/>
      </bottom>
      <diagonal/>
    </border>
    <border>
      <left/>
      <right style="thin">
        <color indexed="64"/>
      </right>
      <top style="medium">
        <color indexed="64"/>
      </top>
      <bottom style="thin">
        <color theme="2" tint="-9.9948118533890809E-2"/>
      </bottom>
      <diagonal/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indexed="64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indexed="64"/>
      </right>
      <top style="thin">
        <color theme="2" tint="-9.9948118533890809E-2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 tint="-9.9948118533890809E-2"/>
      </bottom>
      <diagonal/>
    </border>
    <border>
      <left style="medium">
        <color indexed="64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 style="medium">
        <color indexed="64"/>
      </left>
      <right/>
      <top style="thin">
        <color theme="2" tint="-9.9948118533890809E-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2" tint="-9.9948118533890809E-2"/>
      </bottom>
      <diagonal/>
    </border>
    <border>
      <left style="medium">
        <color indexed="64"/>
      </left>
      <right style="medium">
        <color indexed="64"/>
      </right>
      <top style="thin">
        <color theme="2" tint="-9.9948118533890809E-2"/>
      </top>
      <bottom style="thin">
        <color theme="2" tint="-9.9948118533890809E-2"/>
      </bottom>
      <diagonal/>
    </border>
    <border>
      <left style="medium">
        <color indexed="64"/>
      </left>
      <right style="medium">
        <color indexed="64"/>
      </right>
      <top style="thin">
        <color theme="2" tint="-9.9948118533890809E-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FFCC99"/>
      </bottom>
      <diagonal/>
    </border>
    <border>
      <left/>
      <right style="medium">
        <color indexed="64"/>
      </right>
      <top style="thin">
        <color indexed="64"/>
      </top>
      <bottom style="thin">
        <color rgb="FFFFCC99"/>
      </bottom>
      <diagonal/>
    </border>
    <border>
      <left style="medium">
        <color indexed="64"/>
      </left>
      <right/>
      <top style="thin">
        <color rgb="FFFFCC99"/>
      </top>
      <bottom style="thin">
        <color rgb="FFFFCC99"/>
      </bottom>
      <diagonal/>
    </border>
    <border>
      <left/>
      <right style="medium">
        <color indexed="64"/>
      </right>
      <top/>
      <bottom style="thin">
        <color rgb="FFFFCC99"/>
      </bottom>
      <diagonal/>
    </border>
    <border>
      <left/>
      <right style="medium">
        <color indexed="64"/>
      </right>
      <top style="thin">
        <color rgb="FFFFCC99"/>
      </top>
      <bottom style="thin">
        <color rgb="FFFFCC99"/>
      </bottom>
      <diagonal/>
    </border>
    <border>
      <left/>
      <right style="medium">
        <color indexed="64"/>
      </right>
      <top style="thin">
        <color rgb="FFFFCC99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FFCC99"/>
      </bottom>
      <diagonal/>
    </border>
    <border>
      <left style="medium">
        <color indexed="64"/>
      </left>
      <right style="medium">
        <color indexed="64"/>
      </right>
      <top/>
      <bottom style="thin">
        <color rgb="FFFFCC99"/>
      </bottom>
      <diagonal/>
    </border>
    <border>
      <left style="medium">
        <color indexed="64"/>
      </left>
      <right style="medium">
        <color indexed="64"/>
      </right>
      <top style="thin">
        <color rgb="FFFFCC99"/>
      </top>
      <bottom style="thin">
        <color rgb="FFFFCC99"/>
      </bottom>
      <diagonal/>
    </border>
    <border>
      <left style="medium">
        <color indexed="64"/>
      </left>
      <right style="medium">
        <color indexed="64"/>
      </right>
      <top style="thin">
        <color rgb="FFFFCC9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0" borderId="0"/>
    <xf numFmtId="0" fontId="32" fillId="0" borderId="0" applyNumberFormat="0" applyFill="0" applyBorder="0" applyAlignment="0" applyProtection="0"/>
    <xf numFmtId="0" fontId="35" fillId="0" borderId="0"/>
    <xf numFmtId="0" fontId="37" fillId="0" borderId="0"/>
    <xf numFmtId="44" fontId="35" fillId="0" borderId="0" applyFill="0" applyBorder="0" applyAlignment="0" applyProtection="0"/>
    <xf numFmtId="0" fontId="36" fillId="0" borderId="0"/>
    <xf numFmtId="0" fontId="35" fillId="0" borderId="0"/>
    <xf numFmtId="0" fontId="35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8" fillId="0" borderId="0"/>
    <xf numFmtId="16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 applyNumberFormat="0" applyFill="0" applyBorder="0" applyAlignment="0" applyProtection="0"/>
  </cellStyleXfs>
  <cellXfs count="291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165" fontId="0" fillId="0" borderId="0" xfId="0" applyNumberFormat="1"/>
    <xf numFmtId="10" fontId="0" fillId="0" borderId="0" xfId="1" applyNumberFormat="1" applyFont="1"/>
    <xf numFmtId="0" fontId="4" fillId="0" borderId="0" xfId="0" applyFont="1"/>
    <xf numFmtId="3" fontId="8" fillId="0" borderId="0" xfId="3" applyNumberFormat="1" applyFont="1" applyAlignment="1">
      <alignment vertical="center"/>
    </xf>
    <xf numFmtId="0" fontId="4" fillId="0" borderId="8" xfId="0" applyFont="1" applyBorder="1"/>
    <xf numFmtId="14" fontId="6" fillId="0" borderId="0" xfId="0" applyNumberFormat="1" applyFont="1" applyAlignment="1">
      <alignment horizontal="center" vertical="center" wrapText="1"/>
    </xf>
    <xf numFmtId="14" fontId="6" fillId="4" borderId="23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4" fillId="0" borderId="0" xfId="0" applyFont="1" applyProtection="1">
      <protection locked="0"/>
    </xf>
    <xf numFmtId="3" fontId="12" fillId="0" borderId="24" xfId="0" applyNumberFormat="1" applyFont="1" applyBorder="1" applyAlignment="1" applyProtection="1">
      <alignment horizontal="right" vertical="center" wrapText="1"/>
      <protection locked="0"/>
    </xf>
    <xf numFmtId="3" fontId="12" fillId="0" borderId="26" xfId="0" applyNumberFormat="1" applyFont="1" applyBorder="1" applyAlignment="1" applyProtection="1">
      <alignment horizontal="right" vertical="center" wrapText="1"/>
      <protection locked="0"/>
    </xf>
    <xf numFmtId="3" fontId="9" fillId="6" borderId="26" xfId="0" applyNumberFormat="1" applyFont="1" applyFill="1" applyBorder="1" applyAlignment="1">
      <alignment horizontal="right" vertical="center" wrapText="1"/>
    </xf>
    <xf numFmtId="3" fontId="15" fillId="8" borderId="26" xfId="0" applyNumberFormat="1" applyFont="1" applyFill="1" applyBorder="1" applyAlignment="1">
      <alignment horizontal="right" vertical="center" wrapText="1"/>
    </xf>
    <xf numFmtId="14" fontId="18" fillId="4" borderId="7" xfId="0" applyNumberFormat="1" applyFont="1" applyFill="1" applyBorder="1" applyAlignment="1">
      <alignment horizontal="center" vertical="center" wrapText="1"/>
    </xf>
    <xf numFmtId="3" fontId="7" fillId="2" borderId="27" xfId="3" applyNumberFormat="1" applyFont="1" applyFill="1" applyBorder="1" applyAlignment="1">
      <alignment horizontal="center" vertical="center"/>
    </xf>
    <xf numFmtId="3" fontId="7" fillId="2" borderId="22" xfId="3" applyNumberFormat="1" applyFont="1" applyFill="1" applyBorder="1" applyAlignment="1">
      <alignment horizontal="center" vertical="center"/>
    </xf>
    <xf numFmtId="0" fontId="21" fillId="0" borderId="0" xfId="0" applyFont="1" applyProtection="1">
      <protection locked="0"/>
    </xf>
    <xf numFmtId="14" fontId="18" fillId="4" borderId="23" xfId="0" applyNumberFormat="1" applyFont="1" applyFill="1" applyBorder="1" applyAlignment="1">
      <alignment horizontal="center" vertical="top"/>
    </xf>
    <xf numFmtId="3" fontId="18" fillId="6" borderId="27" xfId="3" applyNumberFormat="1" applyFont="1" applyFill="1" applyBorder="1" applyAlignment="1">
      <alignment horizontal="center" vertical="center"/>
    </xf>
    <xf numFmtId="3" fontId="24" fillId="8" borderId="16" xfId="3" applyNumberFormat="1" applyFont="1" applyFill="1" applyBorder="1" applyAlignment="1">
      <alignment horizontal="center" vertical="center"/>
    </xf>
    <xf numFmtId="0" fontId="21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vertical="top"/>
      <protection locked="0"/>
    </xf>
    <xf numFmtId="0" fontId="13" fillId="0" borderId="0" xfId="0" applyFont="1" applyProtection="1">
      <protection locked="0"/>
    </xf>
    <xf numFmtId="0" fontId="11" fillId="0" borderId="0" xfId="0" applyFont="1" applyProtection="1">
      <protection locked="0"/>
    </xf>
    <xf numFmtId="3" fontId="9" fillId="6" borderId="2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 applyProtection="1">
      <alignment vertical="center"/>
      <protection locked="0"/>
    </xf>
    <xf numFmtId="3" fontId="17" fillId="0" borderId="27" xfId="3" applyNumberFormat="1" applyFont="1" applyBorder="1" applyAlignment="1">
      <alignment horizontal="center" vertical="center"/>
    </xf>
    <xf numFmtId="14" fontId="18" fillId="0" borderId="0" xfId="0" applyNumberFormat="1" applyFont="1" applyAlignment="1">
      <alignment horizontal="center" vertical="center" wrapText="1"/>
    </xf>
    <xf numFmtId="0" fontId="4" fillId="0" borderId="15" xfId="0" applyFont="1" applyBorder="1"/>
    <xf numFmtId="0" fontId="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/>
    <xf numFmtId="10" fontId="7" fillId="0" borderId="0" xfId="1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7" fillId="0" borderId="0" xfId="3" applyNumberFormat="1" applyFont="1" applyAlignment="1">
      <alignment vertical="center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0" fontId="4" fillId="0" borderId="0" xfId="0" applyFont="1" applyAlignment="1">
      <alignment horizontal="center"/>
    </xf>
    <xf numFmtId="3" fontId="4" fillId="0" borderId="0" xfId="0" applyNumberFormat="1" applyFont="1"/>
    <xf numFmtId="0" fontId="16" fillId="0" borderId="0" xfId="0" applyFont="1"/>
    <xf numFmtId="0" fontId="4" fillId="0" borderId="15" xfId="0" applyFont="1" applyBorder="1" applyProtection="1">
      <protection locked="0"/>
    </xf>
    <xf numFmtId="0" fontId="8" fillId="0" borderId="0" xfId="0" applyFont="1"/>
    <xf numFmtId="167" fontId="8" fillId="0" borderId="43" xfId="5" applyNumberFormat="1" applyFont="1" applyBorder="1" applyAlignment="1">
      <alignment horizontal="center" vertical="center"/>
    </xf>
    <xf numFmtId="167" fontId="8" fillId="6" borderId="11" xfId="5" applyNumberFormat="1" applyFont="1" applyFill="1" applyBorder="1" applyAlignment="1">
      <alignment horizontal="center" vertical="center"/>
    </xf>
    <xf numFmtId="167" fontId="8" fillId="0" borderId="10" xfId="5" applyNumberFormat="1" applyFont="1" applyBorder="1" applyAlignment="1">
      <alignment horizontal="center" vertical="center"/>
    </xf>
    <xf numFmtId="167" fontId="4" fillId="0" borderId="9" xfId="5" applyNumberFormat="1" applyFont="1" applyBorder="1" applyAlignment="1">
      <alignment horizontal="center" vertical="center"/>
    </xf>
    <xf numFmtId="167" fontId="4" fillId="7" borderId="12" xfId="5" applyNumberFormat="1" applyFont="1" applyFill="1" applyBorder="1" applyAlignment="1">
      <alignment horizontal="center" vertical="center"/>
    </xf>
    <xf numFmtId="167" fontId="4" fillId="0" borderId="41" xfId="5" applyNumberFormat="1" applyFont="1" applyBorder="1" applyAlignment="1">
      <alignment horizontal="center" vertical="center"/>
    </xf>
    <xf numFmtId="167" fontId="4" fillId="7" borderId="13" xfId="5" applyNumberFormat="1" applyFont="1" applyFill="1" applyBorder="1" applyAlignment="1">
      <alignment horizontal="center" vertical="center"/>
    </xf>
    <xf numFmtId="167" fontId="4" fillId="0" borderId="42" xfId="5" applyNumberFormat="1" applyFont="1" applyBorder="1" applyAlignment="1">
      <alignment horizontal="center" vertical="center"/>
    </xf>
    <xf numFmtId="0" fontId="25" fillId="0" borderId="0" xfId="0" applyFont="1"/>
    <xf numFmtId="0" fontId="22" fillId="0" borderId="0" xfId="0" applyFont="1" applyAlignment="1">
      <alignment vertical="center"/>
    </xf>
    <xf numFmtId="0" fontId="9" fillId="0" borderId="40" xfId="2" applyFont="1" applyBorder="1" applyAlignment="1">
      <alignment vertical="center"/>
    </xf>
    <xf numFmtId="0" fontId="9" fillId="0" borderId="35" xfId="2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4" fontId="9" fillId="4" borderId="7" xfId="0" applyNumberFormat="1" applyFont="1" applyFill="1" applyBorder="1" applyAlignment="1">
      <alignment horizontal="center" vertical="center" wrapText="1"/>
    </xf>
    <xf numFmtId="3" fontId="17" fillId="5" borderId="30" xfId="3" applyNumberFormat="1" applyFont="1" applyFill="1" applyBorder="1" applyAlignment="1">
      <alignment vertical="center"/>
    </xf>
    <xf numFmtId="3" fontId="17" fillId="5" borderId="40" xfId="3" applyNumberFormat="1" applyFont="1" applyFill="1" applyBorder="1" applyAlignment="1">
      <alignment vertical="center"/>
    </xf>
    <xf numFmtId="3" fontId="17" fillId="5" borderId="35" xfId="3" applyNumberFormat="1" applyFont="1" applyFill="1" applyBorder="1" applyAlignment="1">
      <alignment vertical="center"/>
    </xf>
    <xf numFmtId="3" fontId="17" fillId="5" borderId="44" xfId="3" applyNumberFormat="1" applyFont="1" applyFill="1" applyBorder="1" applyAlignment="1">
      <alignment vertical="center"/>
    </xf>
    <xf numFmtId="3" fontId="17" fillId="5" borderId="38" xfId="3" applyNumberFormat="1" applyFont="1" applyFill="1" applyBorder="1" applyAlignment="1">
      <alignment vertical="center"/>
    </xf>
    <xf numFmtId="3" fontId="18" fillId="0" borderId="31" xfId="3" applyNumberFormat="1" applyFont="1" applyBorder="1" applyAlignment="1">
      <alignment vertical="center"/>
    </xf>
    <xf numFmtId="3" fontId="17" fillId="0" borderId="33" xfId="3" applyNumberFormat="1" applyFont="1" applyBorder="1" applyAlignment="1">
      <alignment vertical="center"/>
    </xf>
    <xf numFmtId="3" fontId="18" fillId="5" borderId="35" xfId="3" applyNumberFormat="1" applyFont="1" applyFill="1" applyBorder="1" applyAlignment="1">
      <alignment vertical="center"/>
    </xf>
    <xf numFmtId="3" fontId="18" fillId="0" borderId="33" xfId="3" applyNumberFormat="1" applyFont="1" applyBorder="1" applyAlignment="1">
      <alignment vertical="center"/>
    </xf>
    <xf numFmtId="3" fontId="18" fillId="5" borderId="38" xfId="3" applyNumberFormat="1" applyFont="1" applyFill="1" applyBorder="1" applyAlignment="1">
      <alignment vertical="center"/>
    </xf>
    <xf numFmtId="3" fontId="18" fillId="0" borderId="36" xfId="3" applyNumberFormat="1" applyFont="1" applyBorder="1" applyAlignment="1">
      <alignment vertical="center"/>
    </xf>
    <xf numFmtId="0" fontId="9" fillId="0" borderId="45" xfId="2" applyFont="1" applyBorder="1" applyAlignment="1">
      <alignment vertical="center"/>
    </xf>
    <xf numFmtId="49" fontId="18" fillId="4" borderId="7" xfId="2" applyNumberFormat="1" applyFont="1" applyFill="1" applyBorder="1" applyAlignment="1">
      <alignment horizontal="center" vertical="center" wrapText="1"/>
    </xf>
    <xf numFmtId="0" fontId="9" fillId="9" borderId="46" xfId="2" applyFont="1" applyFill="1" applyBorder="1" applyAlignment="1">
      <alignment vertical="center"/>
    </xf>
    <xf numFmtId="3" fontId="18" fillId="9" borderId="46" xfId="3" applyNumberFormat="1" applyFont="1" applyFill="1" applyBorder="1" applyAlignment="1">
      <alignment vertical="center"/>
    </xf>
    <xf numFmtId="3" fontId="18" fillId="9" borderId="47" xfId="3" applyNumberFormat="1" applyFont="1" applyFill="1" applyBorder="1" applyAlignment="1">
      <alignment vertical="center"/>
    </xf>
    <xf numFmtId="0" fontId="10" fillId="0" borderId="35" xfId="2" applyFont="1" applyBorder="1" applyAlignment="1">
      <alignment horizontal="left" vertical="center" indent="1"/>
    </xf>
    <xf numFmtId="3" fontId="17" fillId="0" borderId="49" xfId="3" applyNumberFormat="1" applyFont="1" applyBorder="1" applyAlignment="1" applyProtection="1">
      <alignment vertical="center"/>
      <protection locked="0"/>
    </xf>
    <xf numFmtId="3" fontId="17" fillId="0" borderId="50" xfId="3" applyNumberFormat="1" applyFont="1" applyBorder="1" applyAlignment="1" applyProtection="1">
      <alignment vertical="center"/>
      <protection locked="0"/>
    </xf>
    <xf numFmtId="3" fontId="17" fillId="0" borderId="52" xfId="3" applyNumberFormat="1" applyFont="1" applyBorder="1" applyAlignment="1" applyProtection="1">
      <alignment vertical="center"/>
      <protection locked="0"/>
    </xf>
    <xf numFmtId="3" fontId="17" fillId="0" borderId="53" xfId="3" applyNumberFormat="1" applyFont="1" applyBorder="1" applyAlignment="1" applyProtection="1">
      <alignment vertical="center"/>
      <protection locked="0"/>
    </xf>
    <xf numFmtId="3" fontId="15" fillId="8" borderId="38" xfId="0" applyNumberFormat="1" applyFont="1" applyFill="1" applyBorder="1" applyAlignment="1">
      <alignment horizontal="right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3" fontId="12" fillId="0" borderId="35" xfId="0" applyNumberFormat="1" applyFont="1" applyBorder="1" applyAlignment="1">
      <alignment horizontal="right" vertical="center" wrapText="1"/>
    </xf>
    <xf numFmtId="3" fontId="9" fillId="6" borderId="34" xfId="0" applyNumberFormat="1" applyFont="1" applyFill="1" applyBorder="1" applyAlignment="1">
      <alignment horizontal="right" vertical="center" wrapText="1"/>
    </xf>
    <xf numFmtId="3" fontId="9" fillId="6" borderId="35" xfId="0" applyNumberFormat="1" applyFont="1" applyFill="1" applyBorder="1" applyAlignment="1">
      <alignment horizontal="right" vertical="center" wrapText="1"/>
    </xf>
    <xf numFmtId="3" fontId="15" fillId="8" borderId="34" xfId="0" applyNumberFormat="1" applyFont="1" applyFill="1" applyBorder="1" applyAlignment="1">
      <alignment horizontal="right" vertical="center" wrapText="1"/>
    </xf>
    <xf numFmtId="3" fontId="15" fillId="8" borderId="35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0" fontId="10" fillId="0" borderId="0" xfId="0" quotePrefix="1" applyFont="1" applyAlignment="1" applyProtection="1">
      <alignment horizontal="center" vertical="center"/>
      <protection locked="0"/>
    </xf>
    <xf numFmtId="0" fontId="10" fillId="0" borderId="44" xfId="2" applyFont="1" applyBorder="1" applyAlignment="1">
      <alignment vertical="center"/>
    </xf>
    <xf numFmtId="3" fontId="17" fillId="0" borderId="39" xfId="3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vertical="center"/>
    </xf>
    <xf numFmtId="0" fontId="9" fillId="6" borderId="33" xfId="0" applyFont="1" applyFill="1" applyBorder="1" applyAlignment="1">
      <alignment horizontal="center" vertical="center"/>
    </xf>
    <xf numFmtId="0" fontId="9" fillId="6" borderId="34" xfId="0" applyFont="1" applyFill="1" applyBorder="1" applyAlignment="1">
      <alignment vertical="center"/>
    </xf>
    <xf numFmtId="0" fontId="15" fillId="8" borderId="33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vertical="center"/>
    </xf>
    <xf numFmtId="0" fontId="15" fillId="8" borderId="36" xfId="0" applyFont="1" applyFill="1" applyBorder="1" applyAlignment="1">
      <alignment horizontal="center" vertical="center"/>
    </xf>
    <xf numFmtId="0" fontId="15" fillId="8" borderId="37" xfId="0" applyFont="1" applyFill="1" applyBorder="1" applyAlignment="1">
      <alignment vertical="center"/>
    </xf>
    <xf numFmtId="3" fontId="12" fillId="0" borderId="25" xfId="0" applyNumberFormat="1" applyFont="1" applyBorder="1" applyAlignment="1" applyProtection="1">
      <alignment horizontal="right" vertical="center" wrapText="1"/>
      <protection locked="0"/>
    </xf>
    <xf numFmtId="3" fontId="9" fillId="6" borderId="25" xfId="0" applyNumberFormat="1" applyFont="1" applyFill="1" applyBorder="1" applyAlignment="1">
      <alignment horizontal="right" vertical="center" wrapText="1"/>
    </xf>
    <xf numFmtId="3" fontId="9" fillId="6" borderId="25" xfId="0" applyNumberFormat="1" applyFont="1" applyFill="1" applyBorder="1" applyAlignment="1" applyProtection="1">
      <alignment horizontal="right" vertical="center" wrapText="1"/>
      <protection locked="0"/>
    </xf>
    <xf numFmtId="3" fontId="15" fillId="8" borderId="25" xfId="0" applyNumberFormat="1" applyFont="1" applyFill="1" applyBorder="1" applyAlignment="1">
      <alignment horizontal="right" vertical="center" wrapText="1"/>
    </xf>
    <xf numFmtId="14" fontId="20" fillId="8" borderId="20" xfId="0" applyNumberFormat="1" applyFont="1" applyFill="1" applyBorder="1" applyAlignment="1">
      <alignment horizontal="center" vertical="center" wrapText="1"/>
    </xf>
    <xf numFmtId="0" fontId="20" fillId="8" borderId="55" xfId="0" applyFont="1" applyFill="1" applyBorder="1" applyAlignment="1">
      <alignment horizontal="center" vertical="top"/>
    </xf>
    <xf numFmtId="3" fontId="12" fillId="0" borderId="30" xfId="0" applyNumberFormat="1" applyFont="1" applyBorder="1" applyAlignment="1">
      <alignment horizontal="right" vertical="center" wrapText="1"/>
    </xf>
    <xf numFmtId="3" fontId="12" fillId="0" borderId="35" xfId="0" applyNumberFormat="1" applyFont="1" applyBorder="1" applyAlignment="1">
      <alignment vertical="center"/>
    </xf>
    <xf numFmtId="3" fontId="9" fillId="6" borderId="35" xfId="0" applyNumberFormat="1" applyFont="1" applyFill="1" applyBorder="1" applyAlignment="1">
      <alignment vertical="center"/>
    </xf>
    <xf numFmtId="3" fontId="17" fillId="5" borderId="19" xfId="3" applyNumberFormat="1" applyFont="1" applyFill="1" applyBorder="1" applyAlignment="1">
      <alignment vertical="center"/>
    </xf>
    <xf numFmtId="3" fontId="17" fillId="5" borderId="39" xfId="3" applyNumberFormat="1" applyFont="1" applyFill="1" applyBorder="1" applyAlignment="1">
      <alignment vertical="center"/>
    </xf>
    <xf numFmtId="3" fontId="17" fillId="5" borderId="37" xfId="3" applyNumberFormat="1" applyFont="1" applyFill="1" applyBorder="1" applyAlignment="1">
      <alignment vertical="center"/>
    </xf>
    <xf numFmtId="0" fontId="9" fillId="0" borderId="30" xfId="2" applyFont="1" applyBorder="1" applyAlignment="1">
      <alignment vertical="center"/>
    </xf>
    <xf numFmtId="0" fontId="29" fillId="0" borderId="0" xfId="0" applyFont="1"/>
    <xf numFmtId="0" fontId="30" fillId="0" borderId="0" xfId="0" applyFont="1"/>
    <xf numFmtId="0" fontId="31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3" fillId="0" borderId="0" xfId="8" applyFont="1" applyAlignment="1">
      <alignment vertical="center"/>
    </xf>
    <xf numFmtId="0" fontId="34" fillId="0" borderId="0" xfId="0" applyFont="1" applyAlignment="1">
      <alignment horizontal="right" vertical="center"/>
    </xf>
    <xf numFmtId="3" fontId="21" fillId="0" borderId="0" xfId="0" applyNumberFormat="1" applyFont="1" applyProtection="1">
      <protection locked="0"/>
    </xf>
    <xf numFmtId="166" fontId="12" fillId="0" borderId="26" xfId="5" applyNumberFormat="1" applyFont="1" applyBorder="1" applyAlignment="1" applyProtection="1">
      <alignment horizontal="right" vertical="center" wrapText="1"/>
      <protection locked="0"/>
    </xf>
    <xf numFmtId="3" fontId="10" fillId="0" borderId="0" xfId="0" applyNumberFormat="1" applyFont="1" applyAlignment="1" applyProtection="1">
      <alignment vertical="center"/>
      <protection locked="0"/>
    </xf>
    <xf numFmtId="1" fontId="10" fillId="0" borderId="0" xfId="0" applyNumberFormat="1" applyFont="1" applyAlignment="1" applyProtection="1">
      <alignment vertical="center"/>
      <protection locked="0"/>
    </xf>
    <xf numFmtId="166" fontId="15" fillId="8" borderId="35" xfId="5" applyNumberFormat="1" applyFont="1" applyFill="1" applyBorder="1" applyAlignment="1">
      <alignment horizontal="right" vertical="center" wrapText="1"/>
    </xf>
    <xf numFmtId="166" fontId="9" fillId="6" borderId="26" xfId="5" applyNumberFormat="1" applyFont="1" applyFill="1" applyBorder="1" applyAlignment="1" applyProtection="1">
      <alignment horizontal="right" vertical="center" wrapText="1"/>
      <protection locked="0"/>
    </xf>
    <xf numFmtId="166" fontId="4" fillId="0" borderId="0" xfId="5" applyNumberFormat="1" applyFont="1"/>
    <xf numFmtId="9" fontId="17" fillId="5" borderId="39" xfId="1" applyFont="1" applyFill="1" applyBorder="1" applyAlignment="1">
      <alignment vertical="center"/>
    </xf>
    <xf numFmtId="0" fontId="4" fillId="3" borderId="0" xfId="0" applyFont="1" applyFill="1"/>
    <xf numFmtId="166" fontId="4" fillId="3" borderId="0" xfId="5" applyNumberFormat="1" applyFont="1" applyFill="1"/>
    <xf numFmtId="14" fontId="18" fillId="4" borderId="8" xfId="0" applyNumberFormat="1" applyFont="1" applyFill="1" applyBorder="1" applyAlignment="1">
      <alignment horizontal="center" vertical="top"/>
    </xf>
    <xf numFmtId="0" fontId="6" fillId="4" borderId="17" xfId="0" applyFont="1" applyFill="1" applyBorder="1" applyAlignment="1">
      <alignment vertical="center"/>
    </xf>
    <xf numFmtId="0" fontId="6" fillId="4" borderId="14" xfId="0" applyFont="1" applyFill="1" applyBorder="1" applyAlignment="1">
      <alignment vertical="top"/>
    </xf>
    <xf numFmtId="0" fontId="6" fillId="4" borderId="54" xfId="0" applyFont="1" applyFill="1" applyBorder="1" applyAlignment="1">
      <alignment vertical="top"/>
    </xf>
    <xf numFmtId="3" fontId="17" fillId="0" borderId="30" xfId="3" applyNumberFormat="1" applyFont="1" applyBorder="1" applyAlignment="1">
      <alignment vertical="center"/>
    </xf>
    <xf numFmtId="3" fontId="17" fillId="0" borderId="40" xfId="3" applyNumberFormat="1" applyFont="1" applyBorder="1" applyAlignment="1">
      <alignment vertical="center"/>
    </xf>
    <xf numFmtId="3" fontId="17" fillId="0" borderId="35" xfId="3" applyNumberFormat="1" applyFont="1" applyBorder="1" applyAlignment="1">
      <alignment vertical="center"/>
    </xf>
    <xf numFmtId="3" fontId="17" fillId="0" borderId="44" xfId="3" applyNumberFormat="1" applyFont="1" applyBorder="1" applyAlignment="1">
      <alignment vertical="center"/>
    </xf>
    <xf numFmtId="3" fontId="17" fillId="0" borderId="38" xfId="3" applyNumberFormat="1" applyFont="1" applyBorder="1" applyAlignment="1">
      <alignment vertical="center"/>
    </xf>
    <xf numFmtId="14" fontId="9" fillId="4" borderId="1" xfId="0" applyNumberFormat="1" applyFont="1" applyFill="1" applyBorder="1" applyAlignment="1">
      <alignment horizontal="center" vertical="center" wrapText="1"/>
    </xf>
    <xf numFmtId="3" fontId="17" fillId="0" borderId="28" xfId="3" applyNumberFormat="1" applyFont="1" applyBorder="1" applyAlignment="1">
      <alignment vertical="center"/>
    </xf>
    <xf numFmtId="9" fontId="17" fillId="0" borderId="29" xfId="1" applyFont="1" applyBorder="1" applyAlignment="1">
      <alignment vertical="center"/>
    </xf>
    <xf numFmtId="3" fontId="17" fillId="0" borderId="31" xfId="3" applyNumberFormat="1" applyFont="1" applyBorder="1" applyAlignment="1">
      <alignment vertical="center"/>
    </xf>
    <xf numFmtId="3" fontId="17" fillId="0" borderId="56" xfId="3" applyNumberFormat="1" applyFont="1" applyBorder="1" applyAlignment="1">
      <alignment vertical="center"/>
    </xf>
    <xf numFmtId="3" fontId="17" fillId="0" borderId="36" xfId="3" applyNumberFormat="1" applyFont="1" applyBorder="1" applyAlignment="1">
      <alignment vertical="center"/>
    </xf>
    <xf numFmtId="9" fontId="17" fillId="0" borderId="32" xfId="1" applyFont="1" applyBorder="1" applyAlignment="1">
      <alignment vertical="center"/>
    </xf>
    <xf numFmtId="9" fontId="17" fillId="0" borderId="34" xfId="1" applyFont="1" applyBorder="1" applyAlignment="1">
      <alignment vertical="center"/>
    </xf>
    <xf numFmtId="9" fontId="17" fillId="0" borderId="39" xfId="1" applyFont="1" applyBorder="1" applyAlignment="1">
      <alignment vertical="center"/>
    </xf>
    <xf numFmtId="9" fontId="17" fillId="0" borderId="37" xfId="1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3" fontId="17" fillId="0" borderId="20" xfId="3" applyNumberFormat="1" applyFont="1" applyBorder="1" applyAlignment="1">
      <alignment vertical="center"/>
    </xf>
    <xf numFmtId="9" fontId="17" fillId="0" borderId="39" xfId="1" applyFont="1" applyFill="1" applyBorder="1" applyAlignment="1">
      <alignment vertical="center"/>
    </xf>
    <xf numFmtId="9" fontId="18" fillId="9" borderId="48" xfId="1" applyFont="1" applyFill="1" applyBorder="1" applyAlignment="1">
      <alignment vertical="center"/>
    </xf>
    <xf numFmtId="9" fontId="18" fillId="0" borderId="32" xfId="1" applyFont="1" applyBorder="1" applyAlignment="1">
      <alignment vertical="center"/>
    </xf>
    <xf numFmtId="9" fontId="18" fillId="0" borderId="34" xfId="1" applyFont="1" applyBorder="1" applyAlignment="1">
      <alignment vertical="center"/>
    </xf>
    <xf numFmtId="9" fontId="18" fillId="0" borderId="37" xfId="1" applyFont="1" applyBorder="1" applyAlignment="1">
      <alignment vertical="center"/>
    </xf>
    <xf numFmtId="166" fontId="8" fillId="0" borderId="43" xfId="5" applyNumberFormat="1" applyFont="1" applyBorder="1" applyAlignment="1">
      <alignment horizontal="center" vertical="center" wrapText="1"/>
    </xf>
    <xf numFmtId="166" fontId="4" fillId="0" borderId="9" xfId="5" applyNumberFormat="1" applyFont="1" applyBorder="1" applyAlignment="1">
      <alignment horizontal="center" vertical="center"/>
    </xf>
    <xf numFmtId="166" fontId="4" fillId="0" borderId="42" xfId="5" applyNumberFormat="1" applyFont="1" applyBorder="1" applyAlignment="1">
      <alignment horizontal="center" vertical="center"/>
    </xf>
    <xf numFmtId="14" fontId="4" fillId="0" borderId="10" xfId="5" applyNumberFormat="1" applyFont="1" applyBorder="1" applyAlignment="1">
      <alignment horizontal="center" vertical="center"/>
    </xf>
    <xf numFmtId="14" fontId="4" fillId="0" borderId="9" xfId="5" applyNumberFormat="1" applyFont="1" applyBorder="1" applyAlignment="1">
      <alignment horizontal="center" vertical="center"/>
    </xf>
    <xf numFmtId="14" fontId="8" fillId="0" borderId="43" xfId="5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49" fontId="23" fillId="0" borderId="8" xfId="0" applyNumberFormat="1" applyFont="1" applyBorder="1" applyAlignment="1">
      <alignment vertical="center"/>
    </xf>
    <xf numFmtId="0" fontId="5" fillId="0" borderId="15" xfId="0" applyFont="1" applyBorder="1"/>
    <xf numFmtId="9" fontId="17" fillId="10" borderId="51" xfId="1" applyFont="1" applyFill="1" applyBorder="1" applyAlignment="1" applyProtection="1">
      <alignment vertical="center"/>
    </xf>
    <xf numFmtId="9" fontId="12" fillId="0" borderId="35" xfId="1" applyFont="1" applyFill="1" applyBorder="1" applyAlignment="1" applyProtection="1">
      <alignment horizontal="right" vertical="center" wrapText="1"/>
    </xf>
    <xf numFmtId="9" fontId="17" fillId="0" borderId="56" xfId="1" applyFont="1" applyFill="1" applyBorder="1" applyAlignment="1">
      <alignment vertical="center"/>
    </xf>
    <xf numFmtId="9" fontId="17" fillId="0" borderId="39" xfId="1" applyFont="1" applyFill="1" applyBorder="1" applyAlignment="1">
      <alignment horizontal="right" vertical="center" indent="1"/>
    </xf>
    <xf numFmtId="0" fontId="6" fillId="4" borderId="19" xfId="0" applyFont="1" applyFill="1" applyBorder="1" applyAlignment="1">
      <alignment horizontal="center" vertical="center"/>
    </xf>
    <xf numFmtId="14" fontId="6" fillId="4" borderId="57" xfId="0" applyNumberFormat="1" applyFont="1" applyFill="1" applyBorder="1" applyAlignment="1">
      <alignment horizontal="center" vertical="center" wrapText="1"/>
    </xf>
    <xf numFmtId="14" fontId="6" fillId="4" borderId="58" xfId="0" applyNumberFormat="1" applyFont="1" applyFill="1" applyBorder="1" applyAlignment="1">
      <alignment horizontal="center" vertical="center" wrapText="1"/>
    </xf>
    <xf numFmtId="14" fontId="6" fillId="4" borderId="18" xfId="0" applyNumberFormat="1" applyFont="1" applyFill="1" applyBorder="1" applyAlignment="1">
      <alignment horizontal="center" vertical="center" wrapText="1"/>
    </xf>
    <xf numFmtId="14" fontId="6" fillId="4" borderId="59" xfId="0" applyNumberFormat="1" applyFont="1" applyFill="1" applyBorder="1" applyAlignment="1">
      <alignment horizontal="center" vertical="top"/>
    </xf>
    <xf numFmtId="3" fontId="12" fillId="0" borderId="60" xfId="0" applyNumberFormat="1" applyFont="1" applyBorder="1" applyAlignment="1" applyProtection="1">
      <alignment horizontal="right" vertical="center" wrapText="1"/>
      <protection locked="0"/>
    </xf>
    <xf numFmtId="3" fontId="12" fillId="0" borderId="61" xfId="0" applyNumberFormat="1" applyFont="1" applyBorder="1" applyAlignment="1" applyProtection="1">
      <alignment horizontal="right" vertical="center" wrapText="1"/>
      <protection locked="0"/>
    </xf>
    <xf numFmtId="3" fontId="9" fillId="6" borderId="61" xfId="0" applyNumberFormat="1" applyFont="1" applyFill="1" applyBorder="1" applyAlignment="1">
      <alignment horizontal="right" vertical="center" wrapText="1"/>
    </xf>
    <xf numFmtId="166" fontId="12" fillId="0" borderId="61" xfId="5" applyNumberFormat="1" applyFont="1" applyBorder="1" applyAlignment="1" applyProtection="1">
      <alignment horizontal="right" vertical="center" wrapText="1"/>
      <protection locked="0"/>
    </xf>
    <xf numFmtId="3" fontId="9" fillId="6" borderId="61" xfId="0" applyNumberFormat="1" applyFont="1" applyFill="1" applyBorder="1" applyAlignment="1" applyProtection="1">
      <alignment horizontal="right" vertical="center" wrapText="1"/>
      <protection locked="0"/>
    </xf>
    <xf numFmtId="3" fontId="15" fillId="8" borderId="61" xfId="0" applyNumberFormat="1" applyFont="1" applyFill="1" applyBorder="1" applyAlignment="1">
      <alignment horizontal="right" vertical="center" wrapText="1"/>
    </xf>
    <xf numFmtId="166" fontId="9" fillId="6" borderId="61" xfId="5" applyNumberFormat="1" applyFont="1" applyFill="1" applyBorder="1" applyAlignment="1" applyProtection="1">
      <alignment horizontal="right" vertical="center" wrapText="1"/>
      <protection locked="0"/>
    </xf>
    <xf numFmtId="3" fontId="15" fillId="8" borderId="62" xfId="0" applyNumberFormat="1" applyFont="1" applyFill="1" applyBorder="1" applyAlignment="1">
      <alignment horizontal="right" vertical="center" wrapText="1"/>
    </xf>
    <xf numFmtId="3" fontId="15" fillId="8" borderId="63" xfId="0" applyNumberFormat="1" applyFont="1" applyFill="1" applyBorder="1" applyAlignment="1">
      <alignment horizontal="right" vertical="center" wrapText="1"/>
    </xf>
    <xf numFmtId="3" fontId="15" fillId="8" borderId="64" xfId="0" applyNumberFormat="1" applyFont="1" applyFill="1" applyBorder="1" applyAlignment="1">
      <alignment horizontal="right" vertical="center" wrapText="1"/>
    </xf>
    <xf numFmtId="14" fontId="18" fillId="4" borderId="17" xfId="0" applyNumberFormat="1" applyFont="1" applyFill="1" applyBorder="1" applyAlignment="1">
      <alignment vertical="center" wrapText="1"/>
    </xf>
    <xf numFmtId="14" fontId="18" fillId="4" borderId="18" xfId="0" applyNumberFormat="1" applyFont="1" applyFill="1" applyBorder="1" applyAlignment="1">
      <alignment vertical="center" wrapText="1"/>
    </xf>
    <xf numFmtId="14" fontId="18" fillId="4" borderId="58" xfId="0" applyNumberFormat="1" applyFont="1" applyFill="1" applyBorder="1" applyAlignment="1">
      <alignment horizontal="center" vertical="center" wrapText="1"/>
    </xf>
    <xf numFmtId="14" fontId="18" fillId="4" borderId="19" xfId="0" applyNumberFormat="1" applyFont="1" applyFill="1" applyBorder="1" applyAlignment="1">
      <alignment horizontal="center" vertical="center" wrapText="1"/>
    </xf>
    <xf numFmtId="14" fontId="18" fillId="4" borderId="14" xfId="0" applyNumberFormat="1" applyFont="1" applyFill="1" applyBorder="1" applyAlignment="1">
      <alignment horizontal="center" vertical="top"/>
    </xf>
    <xf numFmtId="14" fontId="18" fillId="4" borderId="54" xfId="0" applyNumberFormat="1" applyFont="1" applyFill="1" applyBorder="1" applyAlignment="1">
      <alignment horizontal="center" vertical="top"/>
    </xf>
    <xf numFmtId="3" fontId="7" fillId="2" borderId="66" xfId="3" applyNumberFormat="1" applyFont="1" applyFill="1" applyBorder="1" applyAlignment="1">
      <alignment horizontal="center" vertical="center"/>
    </xf>
    <xf numFmtId="3" fontId="18" fillId="6" borderId="66" xfId="3" applyNumberFormat="1" applyFont="1" applyFill="1" applyBorder="1" applyAlignment="1">
      <alignment horizontal="center" vertical="center"/>
    </xf>
    <xf numFmtId="3" fontId="17" fillId="0" borderId="66" xfId="3" applyNumberFormat="1" applyFont="1" applyBorder="1" applyAlignment="1">
      <alignment horizontal="center" vertical="center"/>
    </xf>
    <xf numFmtId="3" fontId="18" fillId="6" borderId="67" xfId="3" applyNumberFormat="1" applyFont="1" applyFill="1" applyBorder="1" applyAlignment="1">
      <alignment vertical="center"/>
    </xf>
    <xf numFmtId="3" fontId="24" fillId="8" borderId="6" xfId="3" applyNumberFormat="1" applyFont="1" applyFill="1" applyBorder="1" applyAlignment="1">
      <alignment horizontal="center" vertical="center"/>
    </xf>
    <xf numFmtId="3" fontId="7" fillId="2" borderId="68" xfId="3" applyNumberFormat="1" applyFont="1" applyFill="1" applyBorder="1" applyAlignment="1">
      <alignment horizontal="center" vertical="center"/>
    </xf>
    <xf numFmtId="3" fontId="24" fillId="8" borderId="59" xfId="3" applyNumberFormat="1" applyFont="1" applyFill="1" applyBorder="1" applyAlignment="1">
      <alignment horizontal="center" vertical="center"/>
    </xf>
    <xf numFmtId="3" fontId="24" fillId="8" borderId="21" xfId="3" applyNumberFormat="1" applyFont="1" applyFill="1" applyBorder="1" applyAlignment="1">
      <alignment horizontal="center" vertical="center"/>
    </xf>
    <xf numFmtId="3" fontId="7" fillId="2" borderId="67" xfId="3" applyNumberFormat="1" applyFont="1" applyFill="1" applyBorder="1" applyAlignment="1">
      <alignment vertical="center"/>
    </xf>
    <xf numFmtId="3" fontId="17" fillId="0" borderId="67" xfId="3" applyNumberFormat="1" applyFont="1" applyBorder="1" applyAlignment="1">
      <alignment vertical="center"/>
    </xf>
    <xf numFmtId="3" fontId="24" fillId="8" borderId="71" xfId="3" applyNumberFormat="1" applyFont="1" applyFill="1" applyBorder="1" applyAlignment="1">
      <alignment vertical="center"/>
    </xf>
    <xf numFmtId="3" fontId="7" fillId="2" borderId="72" xfId="3" applyNumberFormat="1" applyFont="1" applyFill="1" applyBorder="1" applyAlignment="1">
      <alignment vertical="center"/>
    </xf>
    <xf numFmtId="3" fontId="24" fillId="8" borderId="70" xfId="3" applyNumberFormat="1" applyFont="1" applyFill="1" applyBorder="1" applyAlignment="1">
      <alignment vertical="center"/>
    </xf>
    <xf numFmtId="14" fontId="20" fillId="8" borderId="19" xfId="0" applyNumberFormat="1" applyFont="1" applyFill="1" applyBorder="1" applyAlignment="1">
      <alignment horizontal="center" vertical="center" wrapText="1"/>
    </xf>
    <xf numFmtId="0" fontId="20" fillId="8" borderId="54" xfId="0" applyFont="1" applyFill="1" applyBorder="1" applyAlignment="1">
      <alignment horizontal="center" vertical="top"/>
    </xf>
    <xf numFmtId="14" fontId="18" fillId="4" borderId="17" xfId="0" applyNumberFormat="1" applyFont="1" applyFill="1" applyBorder="1" applyAlignment="1">
      <alignment horizontal="center" vertical="center" wrapText="1"/>
    </xf>
    <xf numFmtId="14" fontId="18" fillId="4" borderId="14" xfId="0" applyNumberFormat="1" applyFont="1" applyFill="1" applyBorder="1" applyAlignment="1">
      <alignment horizontal="center" vertical="center" wrapText="1"/>
    </xf>
    <xf numFmtId="3" fontId="17" fillId="0" borderId="73" xfId="3" applyNumberFormat="1" applyFont="1" applyBorder="1" applyAlignment="1">
      <alignment horizontal="left" vertical="center" indent="1"/>
    </xf>
    <xf numFmtId="3" fontId="17" fillId="0" borderId="74" xfId="3" applyNumberFormat="1" applyFont="1" applyBorder="1" applyAlignment="1">
      <alignment horizontal="left" vertical="center" indent="1"/>
    </xf>
    <xf numFmtId="3" fontId="17" fillId="0" borderId="75" xfId="3" applyNumberFormat="1" applyFont="1" applyBorder="1" applyAlignment="1">
      <alignment horizontal="left" vertical="center" indent="1"/>
    </xf>
    <xf numFmtId="9" fontId="17" fillId="10" borderId="52" xfId="1" applyFont="1" applyFill="1" applyBorder="1" applyAlignment="1" applyProtection="1">
      <alignment vertical="center"/>
    </xf>
    <xf numFmtId="3" fontId="27" fillId="0" borderId="76" xfId="3" applyNumberFormat="1" applyFont="1" applyBorder="1" applyAlignment="1">
      <alignment horizontal="center" vertical="center"/>
    </xf>
    <xf numFmtId="9" fontId="27" fillId="0" borderId="77" xfId="1" applyFont="1" applyBorder="1" applyAlignment="1">
      <alignment horizontal="center" vertical="center"/>
    </xf>
    <xf numFmtId="3" fontId="27" fillId="0" borderId="77" xfId="3" applyNumberFormat="1" applyFont="1" applyBorder="1" applyAlignment="1">
      <alignment horizontal="center" vertical="center"/>
    </xf>
    <xf numFmtId="3" fontId="17" fillId="0" borderId="77" xfId="3" applyNumberFormat="1" applyFont="1" applyBorder="1" applyAlignment="1">
      <alignment horizontal="left" vertical="center" indent="1"/>
    </xf>
    <xf numFmtId="3" fontId="17" fillId="0" borderId="78" xfId="3" applyNumberFormat="1" applyFont="1" applyBorder="1" applyAlignment="1">
      <alignment horizontal="left" vertical="center" indent="1"/>
    </xf>
    <xf numFmtId="3" fontId="7" fillId="2" borderId="57" xfId="3" applyNumberFormat="1" applyFont="1" applyFill="1" applyBorder="1" applyAlignment="1">
      <alignment horizontal="center" vertical="center"/>
    </xf>
    <xf numFmtId="3" fontId="7" fillId="2" borderId="65" xfId="3" applyNumberFormat="1" applyFont="1" applyFill="1" applyBorder="1" applyAlignment="1">
      <alignment horizontal="center" vertical="center"/>
    </xf>
    <xf numFmtId="3" fontId="7" fillId="2" borderId="69" xfId="3" applyNumberFormat="1" applyFont="1" applyFill="1" applyBorder="1" applyAlignment="1">
      <alignment vertical="center"/>
    </xf>
    <xf numFmtId="14" fontId="18" fillId="4" borderId="20" xfId="0" applyNumberFormat="1" applyFont="1" applyFill="1" applyBorder="1" applyAlignment="1">
      <alignment horizontal="center" vertical="center" wrapText="1"/>
    </xf>
    <xf numFmtId="14" fontId="18" fillId="4" borderId="55" xfId="0" applyNumberFormat="1" applyFont="1" applyFill="1" applyBorder="1" applyAlignment="1">
      <alignment horizontal="center" vertical="top"/>
    </xf>
    <xf numFmtId="3" fontId="7" fillId="2" borderId="45" xfId="3" applyNumberFormat="1" applyFont="1" applyFill="1" applyBorder="1" applyAlignment="1">
      <alignment vertical="center"/>
    </xf>
    <xf numFmtId="3" fontId="18" fillId="6" borderId="45" xfId="3" applyNumberFormat="1" applyFont="1" applyFill="1" applyBorder="1" applyAlignment="1">
      <alignment vertical="center"/>
    </xf>
    <xf numFmtId="3" fontId="17" fillId="0" borderId="45" xfId="3" applyNumberFormat="1" applyFont="1" applyBorder="1" applyAlignment="1" applyProtection="1">
      <alignment vertical="center"/>
      <protection locked="0"/>
    </xf>
    <xf numFmtId="3" fontId="24" fillId="8" borderId="79" xfId="3" applyNumberFormat="1" applyFont="1" applyFill="1" applyBorder="1" applyAlignment="1">
      <alignment vertical="center"/>
    </xf>
    <xf numFmtId="3" fontId="7" fillId="2" borderId="80" xfId="3" applyNumberFormat="1" applyFont="1" applyFill="1" applyBorder="1" applyAlignment="1">
      <alignment vertical="center"/>
    </xf>
    <xf numFmtId="3" fontId="24" fillId="8" borderId="55" xfId="3" applyNumberFormat="1" applyFont="1" applyFill="1" applyBorder="1" applyAlignment="1">
      <alignment vertical="center"/>
    </xf>
    <xf numFmtId="14" fontId="18" fillId="12" borderId="20" xfId="0" applyNumberFormat="1" applyFont="1" applyFill="1" applyBorder="1" applyAlignment="1">
      <alignment horizontal="center" vertical="center" wrapText="1"/>
    </xf>
    <xf numFmtId="14" fontId="18" fillId="12" borderId="55" xfId="0" applyNumberFormat="1" applyFont="1" applyFill="1" applyBorder="1" applyAlignment="1">
      <alignment horizontal="center" vertical="center" wrapText="1"/>
    </xf>
    <xf numFmtId="0" fontId="15" fillId="8" borderId="47" xfId="0" applyFont="1" applyFill="1" applyBorder="1" applyAlignment="1">
      <alignment horizontal="center" vertical="center" wrapText="1"/>
    </xf>
    <xf numFmtId="0" fontId="15" fillId="8" borderId="81" xfId="0" applyFont="1" applyFill="1" applyBorder="1" applyAlignment="1">
      <alignment horizontal="center" vertical="center"/>
    </xf>
    <xf numFmtId="0" fontId="15" fillId="8" borderId="81" xfId="0" applyFont="1" applyFill="1" applyBorder="1" applyAlignment="1">
      <alignment horizontal="center" vertical="center" wrapText="1"/>
    </xf>
    <xf numFmtId="3" fontId="15" fillId="8" borderId="81" xfId="0" applyNumberFormat="1" applyFont="1" applyFill="1" applyBorder="1" applyAlignment="1">
      <alignment horizontal="center" vertical="center" wrapText="1"/>
    </xf>
    <xf numFmtId="3" fontId="15" fillId="8" borderId="48" xfId="0" applyNumberFormat="1" applyFont="1" applyFill="1" applyBorder="1" applyAlignment="1">
      <alignment horizontal="center" vertical="center" wrapText="1"/>
    </xf>
    <xf numFmtId="166" fontId="8" fillId="0" borderId="82" xfId="5" applyNumberFormat="1" applyFont="1" applyBorder="1" applyAlignment="1">
      <alignment horizontal="center" vertical="center" wrapText="1"/>
    </xf>
    <xf numFmtId="167" fontId="8" fillId="0" borderId="83" xfId="5" applyNumberFormat="1" applyFont="1" applyBorder="1" applyAlignment="1">
      <alignment horizontal="center" vertical="center"/>
    </xf>
    <xf numFmtId="166" fontId="4" fillId="0" borderId="84" xfId="5" applyNumberFormat="1" applyFont="1" applyBorder="1" applyAlignment="1">
      <alignment horizontal="center" vertical="center"/>
    </xf>
    <xf numFmtId="167" fontId="8" fillId="0" borderId="85" xfId="5" applyNumberFormat="1" applyFont="1" applyBorder="1" applyAlignment="1">
      <alignment horizontal="center" vertical="center"/>
    </xf>
    <xf numFmtId="167" fontId="4" fillId="0" borderId="86" xfId="5" applyNumberFormat="1" applyFont="1" applyBorder="1" applyAlignment="1">
      <alignment horizontal="center" vertical="center"/>
    </xf>
    <xf numFmtId="167" fontId="4" fillId="7" borderId="86" xfId="5" applyNumberFormat="1" applyFont="1" applyFill="1" applyBorder="1" applyAlignment="1">
      <alignment horizontal="center" vertical="center"/>
    </xf>
    <xf numFmtId="167" fontId="4" fillId="7" borderId="87" xfId="5" applyNumberFormat="1" applyFont="1" applyFill="1" applyBorder="1" applyAlignment="1">
      <alignment horizontal="center" vertical="center"/>
    </xf>
    <xf numFmtId="0" fontId="5" fillId="5" borderId="88" xfId="0" applyFont="1" applyFill="1" applyBorder="1" applyAlignment="1">
      <alignment horizontal="center"/>
    </xf>
    <xf numFmtId="167" fontId="5" fillId="5" borderId="89" xfId="5" applyNumberFormat="1" applyFont="1" applyFill="1" applyBorder="1"/>
    <xf numFmtId="167" fontId="5" fillId="5" borderId="90" xfId="5" applyNumberFormat="1" applyFont="1" applyFill="1" applyBorder="1"/>
    <xf numFmtId="3" fontId="15" fillId="8" borderId="46" xfId="0" applyNumberFormat="1" applyFont="1" applyFill="1" applyBorder="1" applyAlignment="1">
      <alignment horizontal="center" vertical="center" wrapText="1"/>
    </xf>
    <xf numFmtId="167" fontId="8" fillId="0" borderId="91" xfId="5" applyNumberFormat="1" applyFont="1" applyBorder="1" applyAlignment="1">
      <alignment horizontal="center" vertical="center"/>
    </xf>
    <xf numFmtId="167" fontId="8" fillId="0" borderId="92" xfId="5" applyNumberFormat="1" applyFont="1" applyBorder="1" applyAlignment="1">
      <alignment horizontal="center" vertical="center"/>
    </xf>
    <xf numFmtId="167" fontId="4" fillId="0" borderId="93" xfId="5" applyNumberFormat="1" applyFont="1" applyBorder="1" applyAlignment="1">
      <alignment horizontal="center" vertical="center"/>
    </xf>
    <xf numFmtId="167" fontId="4" fillId="7" borderId="93" xfId="5" applyNumberFormat="1" applyFont="1" applyFill="1" applyBorder="1" applyAlignment="1">
      <alignment horizontal="center" vertical="center"/>
    </xf>
    <xf numFmtId="167" fontId="4" fillId="7" borderId="94" xfId="5" applyNumberFormat="1" applyFont="1" applyFill="1" applyBorder="1" applyAlignment="1">
      <alignment horizontal="center" vertical="center"/>
    </xf>
    <xf numFmtId="167" fontId="5" fillId="5" borderId="95" xfId="5" applyNumberFormat="1" applyFont="1" applyFill="1" applyBorder="1"/>
    <xf numFmtId="0" fontId="4" fillId="0" borderId="0" xfId="0" applyFont="1" applyAlignment="1">
      <alignment vertical="top"/>
    </xf>
    <xf numFmtId="3" fontId="4" fillId="0" borderId="0" xfId="0" applyNumberFormat="1" applyFont="1" applyAlignment="1">
      <alignment vertical="top"/>
    </xf>
    <xf numFmtId="3" fontId="41" fillId="0" borderId="0" xfId="0" applyNumberFormat="1" applyFont="1" applyAlignment="1">
      <alignment vertical="center"/>
    </xf>
    <xf numFmtId="3" fontId="40" fillId="0" borderId="0" xfId="37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5" fillId="4" borderId="4" xfId="37" applyFont="1" applyFill="1" applyBorder="1" applyAlignment="1">
      <alignment horizontal="left" vertical="top" wrapText="1" indent="1"/>
    </xf>
    <xf numFmtId="0" fontId="5" fillId="4" borderId="0" xfId="37" applyFont="1" applyFill="1" applyBorder="1" applyAlignment="1">
      <alignment vertical="top" wrapText="1"/>
    </xf>
    <xf numFmtId="3" fontId="5" fillId="4" borderId="0" xfId="37" applyNumberFormat="1" applyFont="1" applyFill="1" applyBorder="1" applyAlignment="1">
      <alignment vertical="center"/>
    </xf>
    <xf numFmtId="3" fontId="7" fillId="4" borderId="5" xfId="37" applyNumberFormat="1" applyFont="1" applyFill="1" applyBorder="1" applyAlignment="1">
      <alignment vertical="center"/>
    </xf>
    <xf numFmtId="3" fontId="4" fillId="0" borderId="0" xfId="37" applyNumberFormat="1" applyFont="1" applyBorder="1" applyAlignment="1">
      <alignment vertical="center"/>
    </xf>
    <xf numFmtId="3" fontId="8" fillId="0" borderId="5" xfId="37" applyNumberFormat="1" applyFont="1" applyFill="1" applyBorder="1" applyAlignment="1">
      <alignment vertical="center"/>
    </xf>
    <xf numFmtId="3" fontId="8" fillId="0" borderId="5" xfId="37" applyNumberFormat="1" applyFont="1" applyBorder="1" applyAlignment="1">
      <alignment vertical="center"/>
    </xf>
    <xf numFmtId="0" fontId="5" fillId="4" borderId="14" xfId="37" applyFont="1" applyFill="1" applyBorder="1" applyAlignment="1">
      <alignment horizontal="left" vertical="top" wrapText="1" indent="1"/>
    </xf>
    <xf numFmtId="0" fontId="5" fillId="4" borderId="8" xfId="37" applyFont="1" applyFill="1" applyBorder="1" applyAlignment="1">
      <alignment vertical="top" wrapText="1"/>
    </xf>
    <xf numFmtId="3" fontId="5" fillId="4" borderId="8" xfId="37" applyNumberFormat="1" applyFont="1" applyFill="1" applyBorder="1" applyAlignment="1">
      <alignment vertical="center"/>
    </xf>
    <xf numFmtId="3" fontId="7" fillId="4" borderId="54" xfId="37" applyNumberFormat="1" applyFont="1" applyFill="1" applyBorder="1" applyAlignment="1">
      <alignment vertical="center"/>
    </xf>
    <xf numFmtId="0" fontId="5" fillId="4" borderId="4" xfId="37" applyFont="1" applyFill="1" applyBorder="1" applyAlignment="1">
      <alignment horizontal="left" vertical="top" indent="1"/>
    </xf>
    <xf numFmtId="0" fontId="4" fillId="0" borderId="4" xfId="37" applyFont="1" applyBorder="1" applyAlignment="1">
      <alignment horizontal="center" vertical="center"/>
    </xf>
    <xf numFmtId="0" fontId="4" fillId="0" borderId="0" xfId="37" applyFont="1" applyBorder="1" applyAlignment="1">
      <alignment vertical="center" wrapText="1"/>
    </xf>
    <xf numFmtId="0" fontId="42" fillId="11" borderId="1" xfId="37" applyFont="1" applyFill="1" applyBorder="1" applyAlignment="1">
      <alignment horizontal="center" vertical="center"/>
    </xf>
    <xf numFmtId="0" fontId="42" fillId="11" borderId="2" xfId="37" applyFont="1" applyFill="1" applyBorder="1" applyAlignment="1">
      <alignment horizontal="center" vertical="center"/>
    </xf>
    <xf numFmtId="14" fontId="42" fillId="11" borderId="2" xfId="37" applyNumberFormat="1" applyFont="1" applyFill="1" applyBorder="1" applyAlignment="1">
      <alignment horizontal="center" vertical="center" wrapText="1"/>
    </xf>
    <xf numFmtId="14" fontId="42" fillId="11" borderId="3" xfId="37" applyNumberFormat="1" applyFont="1" applyFill="1" applyBorder="1" applyAlignment="1">
      <alignment horizontal="center" vertical="center" wrapText="1"/>
    </xf>
    <xf numFmtId="14" fontId="6" fillId="12" borderId="20" xfId="0" applyNumberFormat="1" applyFont="1" applyFill="1" applyBorder="1" applyAlignment="1">
      <alignment horizontal="center" vertical="center" wrapText="1"/>
    </xf>
    <xf numFmtId="14" fontId="6" fillId="12" borderId="55" xfId="0" applyNumberFormat="1" applyFont="1" applyFill="1" applyBorder="1" applyAlignment="1">
      <alignment horizontal="center" vertical="top"/>
    </xf>
    <xf numFmtId="14" fontId="18" fillId="12" borderId="55" xfId="0" applyNumberFormat="1" applyFont="1" applyFill="1" applyBorder="1" applyAlignment="1">
      <alignment horizontal="center" vertical="top"/>
    </xf>
    <xf numFmtId="0" fontId="43" fillId="0" borderId="0" xfId="8" applyFont="1" applyAlignment="1">
      <alignment vertical="top" wrapText="1"/>
    </xf>
    <xf numFmtId="0" fontId="9" fillId="0" borderId="4" xfId="2" applyFont="1" applyBorder="1" applyAlignment="1">
      <alignment vertical="center"/>
    </xf>
    <xf numFmtId="166" fontId="4" fillId="0" borderId="9" xfId="5" applyNumberFormat="1" applyFont="1" applyBorder="1" applyAlignment="1">
      <alignment horizontal="center" vertical="center" wrapText="1"/>
    </xf>
    <xf numFmtId="10" fontId="13" fillId="0" borderId="0" xfId="0" applyNumberFormat="1" applyFont="1" applyProtection="1">
      <protection locked="0"/>
    </xf>
    <xf numFmtId="3" fontId="47" fillId="0" borderId="0" xfId="0" applyNumberFormat="1" applyFont="1" applyAlignment="1">
      <alignment vertical="center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4" borderId="3" xfId="0" applyNumberFormat="1" applyFont="1" applyFill="1" applyBorder="1" applyAlignment="1">
      <alignment horizontal="center" vertical="center" wrapText="1"/>
    </xf>
    <xf numFmtId="0" fontId="48" fillId="0" borderId="0" xfId="0" applyFont="1" applyProtection="1">
      <protection locked="0"/>
    </xf>
    <xf numFmtId="3" fontId="48" fillId="0" borderId="0" xfId="0" applyNumberFormat="1" applyFont="1" applyProtection="1">
      <protection locked="0"/>
    </xf>
  </cellXfs>
  <cellStyles count="38">
    <cellStyle name="Ezres" xfId="5" builtinId="3"/>
    <cellStyle name="Ezres 2" xfId="6" xr:uid="{00000000-0005-0000-0000-000002000000}"/>
    <cellStyle name="Ezres 2 2" xfId="29" xr:uid="{00000000-0005-0000-0000-000000000000}"/>
    <cellStyle name="Ezres 2 3" xfId="17" xr:uid="{00000000-0005-0000-0000-000000000000}"/>
    <cellStyle name="Ezres 3" xfId="18" xr:uid="{00000000-0005-0000-0000-000001000000}"/>
    <cellStyle name="Ezres 3 2" xfId="30" xr:uid="{00000000-0005-0000-0000-000001000000}"/>
    <cellStyle name="Ezres 4" xfId="15" xr:uid="{00000000-0005-0000-0000-000002000000}"/>
    <cellStyle name="Ezres 4 2" xfId="27" xr:uid="{00000000-0005-0000-0000-000002000000}"/>
    <cellStyle name="Ezres 5" xfId="33" xr:uid="{00000000-0005-0000-0000-000039000000}"/>
    <cellStyle name="Ezres 6" xfId="35" xr:uid="{96871888-136C-4640-B471-D9DF59BEDEC9}"/>
    <cellStyle name="Hivatkozás" xfId="8" builtinId="8"/>
    <cellStyle name="Magyarázó szöveg" xfId="37" builtinId="53"/>
    <cellStyle name="Normál" xfId="0" builtinId="0"/>
    <cellStyle name="Normál 12" xfId="12" xr:uid="{00000000-0005-0000-0000-000004000000}"/>
    <cellStyle name="Normál 13" xfId="9" xr:uid="{679EA3A9-AB5D-4AEA-B738-D44179326D87}"/>
    <cellStyle name="Normál 2" xfId="7" xr:uid="{00000000-0005-0000-0000-000005000000}"/>
    <cellStyle name="Normál 2 2" xfId="14" xr:uid="{00000000-0005-0000-0000-000006000000}"/>
    <cellStyle name="Normál 2 2 2" xfId="19" xr:uid="{00000000-0005-0000-0000-000007000000}"/>
    <cellStyle name="Normál 2 3" xfId="13" xr:uid="{00000000-0005-0000-0000-000005000000}"/>
    <cellStyle name="Normál 3" xfId="4" xr:uid="{00000000-0005-0000-0000-000006000000}"/>
    <cellStyle name="Normál 3 2" xfId="20" xr:uid="{00000000-0005-0000-0000-000008000000}"/>
    <cellStyle name="Normál 4" xfId="21" xr:uid="{00000000-0005-0000-0000-000009000000}"/>
    <cellStyle name="Normál 5" xfId="22" xr:uid="{00000000-0005-0000-0000-00000A000000}"/>
    <cellStyle name="Normál 6" xfId="23" xr:uid="{00000000-0005-0000-0000-00000B000000}"/>
    <cellStyle name="Normál 7" xfId="34" xr:uid="{E5A02372-35C9-41D8-8E92-30CB3A1178A1}"/>
    <cellStyle name="Normál 8" xfId="10" xr:uid="{AF9C3135-9EED-468A-8788-E2762663C983}"/>
    <cellStyle name="Normál 9" xfId="3" xr:uid="{00000000-0005-0000-0000-000007000000}"/>
    <cellStyle name="Normal_Finsth A hun" xfId="2" xr:uid="{00000000-0005-0000-0000-000009000000}"/>
    <cellStyle name="Pénznem 2" xfId="11" xr:uid="{5D833D9C-0A68-4B39-BEDB-C980E3C1498C}"/>
    <cellStyle name="Pénznem 2 2" xfId="24" xr:uid="{00000000-0005-0000-0000-00000C000000}"/>
    <cellStyle name="Pénznem 2 3" xfId="31" xr:uid="{00000000-0005-0000-0000-00000C000000}"/>
    <cellStyle name="Pénznem 3" xfId="25" xr:uid="{00000000-0005-0000-0000-00000D000000}"/>
    <cellStyle name="Pénznem 3 2" xfId="32" xr:uid="{00000000-0005-0000-0000-00000D000000}"/>
    <cellStyle name="Pénznem 4" xfId="16" xr:uid="{00000000-0005-0000-0000-00000E000000}"/>
    <cellStyle name="Pénznem 4 2" xfId="28" xr:uid="{00000000-0005-0000-0000-00000E000000}"/>
    <cellStyle name="Százalék" xfId="1" builtinId="5"/>
    <cellStyle name="Százalék 2" xfId="26" xr:uid="{00000000-0005-0000-0000-00000F000000}"/>
    <cellStyle name="Százalék 3" xfId="36" xr:uid="{E62CCAB3-1112-4CAF-B3F8-18A27A721A14}"/>
  </cellStyles>
  <dxfs count="0"/>
  <tableStyles count="0" defaultTableStyle="TableStyleMedium2" defaultPivotStyle="PivotStyleLight16"/>
  <colors>
    <mruColors>
      <color rgb="FFFF9933"/>
      <color rgb="FF339933"/>
      <color rgb="FFFFCC99"/>
      <color rgb="FFFF7C80"/>
      <color rgb="FFF8DB7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vvrhomes01\gvvrhomes01\GrasellyB\Dokumentumok\M&#225;solat%20eredetijeSzerz&#337;d&#233;sek_Hi&#225;nyok_201411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tsfile01\HQ\P&#233;nz&#252;gy_&#233;s_sz&#225;mvitel\09.%20Le&#225;nyv&#225;llalatok\Havi%20z&#225;r&#225;s\LE&#193;NYV&#193;LLALALTI%20RIPORTOK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urisztika-my.sharepoint.com/P&#233;nz&#252;gy_&#233;s_sz&#225;mvitel/09.%20Le&#225;nyv&#225;llalatok/Havi%20z&#225;r&#225;s/LE&#193;NYV&#193;LLALALTI%20RIPORTOK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TSFILE01\Business_Data\Gazdas&#225;gi_Igazgat&#243;s&#225;g\Kontrolling\01_Uzleti%20Terv\2018\NFM%20Terv\k&#246;ltsegterv_2018_v&#233;gleges+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MT&#220;%20riport%20alap_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ÁV Zrt."/>
      <sheetName val="GYSEV Zrt."/>
      <sheetName val="Munka3"/>
      <sheetName val="Előlap"/>
      <sheetName val="6_Egyéb_bev_ráf"/>
      <sheetName val="7_Költség"/>
      <sheetName val="2_Eredmény"/>
      <sheetName val="értékkészletek"/>
      <sheetName val="Forgóvázcsere terv"/>
      <sheetName val="Munka1"/>
      <sheetName val="MÁV_Zrt_"/>
      <sheetName val="GYSEV_Zrt_"/>
      <sheetName val="MÁV_Zrt_1"/>
      <sheetName val="GYSEV_Zrt_1"/>
      <sheetName val="listák"/>
      <sheetName val="Értéklista"/>
      <sheetName val="para"/>
    </sheetNames>
    <sheetDataSet>
      <sheetData sheetId="0">
        <row r="9">
          <cell r="D9">
            <v>3000000</v>
          </cell>
        </row>
      </sheetData>
      <sheetData sheetId="1">
        <row r="3">
          <cell r="B3" t="str">
            <v>KTI-Közlekedéstudományi Intézet Nonprofit Kft.</v>
          </cell>
        </row>
        <row r="4">
          <cell r="B4" t="str">
            <v>Balassi Intézet – Collegium Hungaricum Bécs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9">
          <cell r="D9">
            <v>3000000</v>
          </cell>
        </row>
      </sheetData>
      <sheetData sheetId="11">
        <row r="3">
          <cell r="B3" t="str">
            <v>KTI-Közlekedéstudományi Intézet Nonprofit Kft.</v>
          </cell>
        </row>
      </sheetData>
      <sheetData sheetId="12">
        <row r="9">
          <cell r="D9">
            <v>3000000</v>
          </cell>
        </row>
      </sheetData>
      <sheetData sheetId="13">
        <row r="3">
          <cell r="B3" t="str">
            <v>KTI-Közlekedéstudományi Intézet Nonprofit Kft.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itöltési útmutató"/>
      <sheetName val="segédtábla"/>
      <sheetName val="Előlap"/>
      <sheetName val="Jelentés"/>
      <sheetName val="jelentés kieg lap"/>
      <sheetName val="1. Mérleg"/>
      <sheetName val="2. Eredménykimutatás"/>
      <sheetName val="3. Céltartalék és Értékvesztés"/>
      <sheetName val="4. Egyéb bev. és ráf."/>
      <sheetName val="5. Működési költség"/>
      <sheetName val="6. Humán"/>
      <sheetName val="7. Részesedések"/>
      <sheetName val="8. Beruházás"/>
      <sheetName val="9. Likviditási terv"/>
      <sheetName val="10. KPI mutatók"/>
      <sheetName val="Közbeszerzési terv_"/>
      <sheetName val="NFM támogatások"/>
      <sheetName val="Megjegyzések"/>
    </sheetNames>
    <sheetDataSet>
      <sheetData sheetId="0"/>
      <sheetData sheetId="1"/>
      <sheetData sheetId="2"/>
      <sheetData sheetId="3"/>
      <sheetData sheetId="4">
        <row r="156">
          <cell r="B156" t="str">
            <v>Átlag létszám (fő)</v>
          </cell>
        </row>
        <row r="157">
          <cell r="B157" t="str">
            <v>Záró létszám (fő)</v>
          </cell>
        </row>
        <row r="160">
          <cell r="B160" t="str">
            <v>BEFEKTETETT ESZKÖZÖK</v>
          </cell>
        </row>
        <row r="161">
          <cell r="B161" t="str">
            <v>IMMATERIÁLIS JAVAK</v>
          </cell>
        </row>
        <row r="162">
          <cell r="B162" t="str">
            <v xml:space="preserve"> Alapítás - átszervezés aktivált értéke </v>
          </cell>
        </row>
        <row r="163">
          <cell r="B163" t="str">
            <v xml:space="preserve"> Kísérleti fejlesztés aktivált értéke </v>
          </cell>
        </row>
        <row r="164">
          <cell r="B164" t="str">
            <v xml:space="preserve"> Vagyoni értékű jogok </v>
          </cell>
        </row>
        <row r="165">
          <cell r="B165" t="str">
            <v xml:space="preserve"> Szellemi termékek </v>
          </cell>
        </row>
        <row r="166">
          <cell r="B166" t="str">
            <v xml:space="preserve"> Üzleti vagy cégérték </v>
          </cell>
        </row>
        <row r="167">
          <cell r="B167" t="str">
            <v xml:space="preserve"> Immateriális javakra adott előlegek</v>
          </cell>
        </row>
        <row r="168">
          <cell r="B168" t="str">
            <v>Immateriális javak értékhelyesbítése</v>
          </cell>
        </row>
        <row r="169">
          <cell r="B169" t="str">
            <v>TÁRGYI ESZKÖZÖK</v>
          </cell>
        </row>
        <row r="170">
          <cell r="B170" t="str">
            <v xml:space="preserve"> Ingatlanok és a kapcsolódó vagyoni értékű jogok</v>
          </cell>
        </row>
        <row r="171">
          <cell r="B171" t="str">
            <v xml:space="preserve"> Műszaki berendezések, gépek, járművek </v>
          </cell>
        </row>
        <row r="172">
          <cell r="B172" t="str">
            <v xml:space="preserve"> Egyéb berendezések, felszerelések, járművek </v>
          </cell>
        </row>
        <row r="173">
          <cell r="B173" t="str">
            <v xml:space="preserve"> Tenyészállatok</v>
          </cell>
        </row>
        <row r="174">
          <cell r="B174" t="str">
            <v xml:space="preserve"> Beruházások, felújítások </v>
          </cell>
        </row>
        <row r="175">
          <cell r="B175" t="str">
            <v xml:space="preserve"> Beruházásokra adott előlegek </v>
          </cell>
        </row>
        <row r="176">
          <cell r="B176" t="str">
            <v>Tárgyi eszközök értékhelyesbítése</v>
          </cell>
        </row>
        <row r="177">
          <cell r="B177" t="str">
            <v xml:space="preserve"> BEFEKTETETT PÉNZÜGYI ESZKÖZÖK</v>
          </cell>
        </row>
        <row r="178">
          <cell r="B178" t="str">
            <v xml:space="preserve"> Tartós részesedés kapcsolt vállalkozásban</v>
          </cell>
        </row>
        <row r="179">
          <cell r="B179" t="str">
            <v xml:space="preserve"> Tartósan adott kölcsön kapcsolt vállalkozásban</v>
          </cell>
        </row>
        <row r="180">
          <cell r="B180" t="str">
            <v xml:space="preserve"> Tartós jelentős tulajdoni részesedés</v>
          </cell>
        </row>
        <row r="181">
          <cell r="B181" t="str">
            <v xml:space="preserve"> Tartósan adott kölcsön jelentős tulajdoni részesedési viszonyban álló vállalkozásban</v>
          </cell>
        </row>
        <row r="182">
          <cell r="B182" t="str">
            <v xml:space="preserve"> Egyéb tartós részesedés</v>
          </cell>
        </row>
        <row r="183">
          <cell r="B183" t="str">
            <v xml:space="preserve"> Tartósan adott kölcsön egyéb részesedési viszonyban álló váll.</v>
          </cell>
        </row>
        <row r="184">
          <cell r="B184" t="str">
            <v xml:space="preserve"> Egyéb tartósan adott kölcsön</v>
          </cell>
        </row>
        <row r="185">
          <cell r="B185" t="str">
            <v xml:space="preserve"> Tartós hitelviszonyt megtestesítő értékpapír</v>
          </cell>
        </row>
        <row r="186">
          <cell r="B186" t="str">
            <v xml:space="preserve"> Befektetett pénzügyi eszközök értékhelyesbítése</v>
          </cell>
        </row>
        <row r="187">
          <cell r="B187" t="str">
            <v xml:space="preserve"> FORGÓESZKÖZÖK</v>
          </cell>
        </row>
        <row r="188">
          <cell r="B188" t="str">
            <v xml:space="preserve"> KÉSZLETEK</v>
          </cell>
        </row>
        <row r="189">
          <cell r="B189" t="str">
            <v xml:space="preserve"> Anyagok </v>
          </cell>
        </row>
        <row r="190">
          <cell r="B190" t="str">
            <v xml:space="preserve"> Befejezetlen termelés és félkész termékek </v>
          </cell>
        </row>
        <row r="191">
          <cell r="B191" t="str">
            <v xml:space="preserve"> Növendék-, hízó- és egyéb állatok</v>
          </cell>
        </row>
        <row r="192">
          <cell r="B192" t="str">
            <v xml:space="preserve"> Késztermékek </v>
          </cell>
        </row>
        <row r="193">
          <cell r="B193" t="str">
            <v xml:space="preserve"> Áruk </v>
          </cell>
        </row>
        <row r="194">
          <cell r="B194" t="str">
            <v xml:space="preserve"> Készletekre adott előlegek </v>
          </cell>
        </row>
        <row r="195">
          <cell r="B195" t="str">
            <v xml:space="preserve"> KÖVETELÉSEK</v>
          </cell>
        </row>
        <row r="196">
          <cell r="B196" t="str">
            <v>Követelések áruszállításból és szolgáltatásból (vevők)</v>
          </cell>
        </row>
        <row r="197">
          <cell r="B197" t="str">
            <v xml:space="preserve"> Követelések kapcsolt vállalkozásokkal szemben</v>
          </cell>
        </row>
        <row r="198">
          <cell r="B198" t="str">
            <v xml:space="preserve"> Követelések jelentős tulajdoni részesedési viszonyban lévő vállalkozással szemben</v>
          </cell>
        </row>
        <row r="199">
          <cell r="B199" t="str">
            <v xml:space="preserve"> Követelések egyéb részesedési viszonyban lévő váll. szemben</v>
          </cell>
        </row>
        <row r="200">
          <cell r="B200" t="str">
            <v xml:space="preserve"> Váltókövetelések</v>
          </cell>
        </row>
        <row r="201">
          <cell r="B201" t="str">
            <v xml:space="preserve"> Egyéb követelések</v>
          </cell>
        </row>
        <row r="202">
          <cell r="B202" t="str">
            <v xml:space="preserve"> Követelések értékelési különbözete</v>
          </cell>
        </row>
        <row r="203">
          <cell r="B203" t="str">
            <v xml:space="preserve"> Származékos ügyletek pozitív értékelési különbözete</v>
          </cell>
        </row>
        <row r="204">
          <cell r="B204" t="str">
            <v xml:space="preserve"> ÉRTÉKPAPÍROK</v>
          </cell>
        </row>
        <row r="205">
          <cell r="B205" t="str">
            <v xml:space="preserve"> Részesedés kapcsolt vállalkozásban</v>
          </cell>
        </row>
        <row r="206">
          <cell r="B206" t="str">
            <v xml:space="preserve"> Jelentős tulajdoni részesedés</v>
          </cell>
        </row>
        <row r="207">
          <cell r="B207" t="str">
            <v xml:space="preserve"> Egyéb részesedés</v>
          </cell>
        </row>
        <row r="208">
          <cell r="B208" t="str">
            <v xml:space="preserve"> Saját részvények, saját üzletrészek</v>
          </cell>
        </row>
        <row r="209">
          <cell r="B209" t="str">
            <v xml:space="preserve"> Forgatási célú hitelviszonyt megtestesítő értékpapírok</v>
          </cell>
        </row>
        <row r="210">
          <cell r="B210" t="str">
            <v xml:space="preserve"> Értékpapírok értékelési különbözete</v>
          </cell>
        </row>
        <row r="211">
          <cell r="B211" t="str">
            <v xml:space="preserve"> PÉNZESZKÖZÖK</v>
          </cell>
        </row>
        <row r="212">
          <cell r="B212" t="str">
            <v xml:space="preserve"> Pénztár, csekkek </v>
          </cell>
        </row>
        <row r="213">
          <cell r="B213" t="str">
            <v xml:space="preserve"> Bankbetétek </v>
          </cell>
        </row>
        <row r="214">
          <cell r="B214" t="str">
            <v xml:space="preserve"> AKTÍV IDŐBELI ELHATÁROLÁSOK </v>
          </cell>
        </row>
        <row r="215">
          <cell r="B215" t="str">
            <v xml:space="preserve"> Bevételek aktív időbeli elhatárolása</v>
          </cell>
        </row>
        <row r="216">
          <cell r="B216" t="str">
            <v xml:space="preserve"> Költségek, ráfordítások aktív időbeli elhatárolása</v>
          </cell>
        </row>
        <row r="217">
          <cell r="B217" t="str">
            <v xml:space="preserve"> Halasztott ráfordítások</v>
          </cell>
        </row>
        <row r="218">
          <cell r="B218" t="str">
            <v xml:space="preserve"> ESZKÖZÖK (AKTÍVÁK) ÖSSZESEN</v>
          </cell>
        </row>
        <row r="219">
          <cell r="B219" t="str">
            <v xml:space="preserve"> SAJÁT TŐKE</v>
          </cell>
        </row>
        <row r="220">
          <cell r="B220" t="str">
            <v xml:space="preserve"> Jegyzett tőke  </v>
          </cell>
        </row>
        <row r="221">
          <cell r="B221" t="str">
            <v xml:space="preserve"> Ebből:  visszavásárolt tulajdonosi részesedés névértéken</v>
          </cell>
        </row>
        <row r="222">
          <cell r="B222" t="str">
            <v xml:space="preserve"> Jegyzett, de még be nem fizetett tőke (-)</v>
          </cell>
        </row>
        <row r="223">
          <cell r="B223" t="str">
            <v xml:space="preserve"> Tőketartalék </v>
          </cell>
        </row>
        <row r="224">
          <cell r="B224" t="str">
            <v xml:space="preserve"> Eredménytartalék </v>
          </cell>
        </row>
        <row r="225">
          <cell r="B225" t="str">
            <v xml:space="preserve"> Lekötött tartalék</v>
          </cell>
        </row>
        <row r="226">
          <cell r="B226" t="str">
            <v xml:space="preserve"> Értékelési tartalék</v>
          </cell>
        </row>
        <row r="227">
          <cell r="B227" t="str">
            <v xml:space="preserve"> Adózott eredmény</v>
          </cell>
        </row>
        <row r="228">
          <cell r="B228" t="str">
            <v xml:space="preserve"> CÉLTARTALÉKOK</v>
          </cell>
        </row>
        <row r="229">
          <cell r="B229" t="str">
            <v xml:space="preserve"> Céltartalék a várható kötelezettségekre </v>
          </cell>
        </row>
        <row r="230">
          <cell r="B230" t="str">
            <v xml:space="preserve"> Céltartalék a jövőbeni költségekre </v>
          </cell>
        </row>
        <row r="231">
          <cell r="B231" t="str">
            <v xml:space="preserve"> Egyéb céltartalék </v>
          </cell>
        </row>
        <row r="232">
          <cell r="B232" t="str">
            <v xml:space="preserve"> KÖTELEZETTSÉGEK</v>
          </cell>
        </row>
        <row r="233">
          <cell r="B233" t="str">
            <v xml:space="preserve"> HÁTRASOROLT KÖTELEZETTSÉGEK </v>
          </cell>
        </row>
        <row r="234">
          <cell r="B234" t="str">
            <v xml:space="preserve"> Hátrasorolt kötelezettségek kapcsolt vállalkozással szemben</v>
          </cell>
        </row>
        <row r="235">
          <cell r="B235" t="str">
            <v xml:space="preserve"> Hátrasorolt kötelezettségek jelentős tulajdoni viszonyban lévő vállalkozással szemben</v>
          </cell>
        </row>
        <row r="236">
          <cell r="B236" t="str">
            <v xml:space="preserve"> Hátrasorolt kötelezettségek egyéb rész. viszonyban lévő váll. szemben</v>
          </cell>
        </row>
        <row r="237">
          <cell r="B237" t="str">
            <v xml:space="preserve"> Hátrasorolt kötelezettségek egyéb gazdálkodóval szemben</v>
          </cell>
        </row>
        <row r="238">
          <cell r="B238" t="str">
            <v xml:space="preserve"> HOSSZÚ LEJÁRATÚ KÖTELEZETTSÉGEK </v>
          </cell>
        </row>
        <row r="239">
          <cell r="B239" t="str">
            <v xml:space="preserve"> Hosszú lejáratra kapott kölcsönök </v>
          </cell>
        </row>
        <row r="240">
          <cell r="B240" t="str">
            <v xml:space="preserve"> Átváltoztatható kötvények</v>
          </cell>
        </row>
        <row r="241">
          <cell r="B241" t="str">
            <v xml:space="preserve"> Tartozások kötvénykibocsátásból </v>
          </cell>
        </row>
        <row r="242">
          <cell r="B242" t="str">
            <v xml:space="preserve"> Beruházási és fejlesztési hitelek </v>
          </cell>
        </row>
        <row r="243">
          <cell r="B243" t="str">
            <v xml:space="preserve"> Egyéb hosszú lejáratú hitelek </v>
          </cell>
        </row>
        <row r="244">
          <cell r="B244" t="str">
            <v xml:space="preserve"> Tartós kötelezettségek kapcsolt vállalkozással szemben</v>
          </cell>
        </row>
        <row r="245">
          <cell r="B245" t="str">
            <v xml:space="preserve"> Tartós kötelezettségek jelentős tulajdoni részesedési viszonyban lévő vállalkozásokkal szemben</v>
          </cell>
        </row>
        <row r="246">
          <cell r="B246" t="str">
            <v xml:space="preserve"> Tartós kötelezettségek egyéb rész. visz. lévő váll. szemben</v>
          </cell>
        </row>
        <row r="247">
          <cell r="B247" t="str">
            <v xml:space="preserve"> Egyéb hosszú lejáratú kötelezettségek</v>
          </cell>
        </row>
        <row r="248">
          <cell r="B248" t="str">
            <v xml:space="preserve"> RÖVID LEJÁRATÚ KÖTELEZETTSÉGEK</v>
          </cell>
        </row>
        <row r="249">
          <cell r="B249" t="str">
            <v xml:space="preserve"> Rövid lejáratú kölcsönök </v>
          </cell>
        </row>
        <row r="250">
          <cell r="B250" t="str">
            <v xml:space="preserve"> Ebből: az átváltoztatható kötvények</v>
          </cell>
        </row>
        <row r="251">
          <cell r="B251" t="str">
            <v xml:space="preserve"> Rövid lejáratú hitelek </v>
          </cell>
        </row>
        <row r="252">
          <cell r="B252" t="str">
            <v xml:space="preserve"> Vevőtől kapott előlegek</v>
          </cell>
        </row>
        <row r="253">
          <cell r="B253" t="str">
            <v xml:space="preserve"> Kötelezettségek áruszállításból és szolgáltatásból (szállítók )</v>
          </cell>
        </row>
        <row r="254">
          <cell r="B254" t="str">
            <v xml:space="preserve"> Váltótartozások </v>
          </cell>
        </row>
        <row r="255">
          <cell r="B255" t="str">
            <v xml:space="preserve"> Rövid lejáratú kötelezettségek kapcsolt vállalkozással szemben</v>
          </cell>
        </row>
        <row r="256">
          <cell r="B256" t="str">
            <v xml:space="preserve"> Rövid lej. köt. jelentős tulajdoni rész. visz. lévő vállalkozásokkal szemben</v>
          </cell>
        </row>
        <row r="257">
          <cell r="B257" t="str">
            <v xml:space="preserve"> Rövid lejáratú kötelezettségek egyéb rész. visz. lévő váll.szemben</v>
          </cell>
        </row>
        <row r="258">
          <cell r="B258" t="str">
            <v xml:space="preserve"> Egyéb rövid lejáratú kötelezettségek</v>
          </cell>
        </row>
        <row r="259">
          <cell r="B259" t="str">
            <v xml:space="preserve"> Kötelezettségek értékelési különbözete</v>
          </cell>
        </row>
        <row r="260">
          <cell r="B260" t="str">
            <v xml:space="preserve"> Származékos ügyletek negatív értékelési különbözete</v>
          </cell>
        </row>
        <row r="261">
          <cell r="B261" t="str">
            <v>PASSZÍV IDŐBELI ELHATÁROLÁSOK</v>
          </cell>
        </row>
        <row r="262">
          <cell r="B262" t="str">
            <v xml:space="preserve"> Bevételek passzív időbeli elhatárolása</v>
          </cell>
        </row>
        <row r="263">
          <cell r="B263" t="str">
            <v xml:space="preserve"> Költségek, ráfordítások passzív időbeli elhatárolása</v>
          </cell>
        </row>
        <row r="264">
          <cell r="B264" t="str">
            <v xml:space="preserve"> Halasztott bevételek</v>
          </cell>
        </row>
        <row r="265">
          <cell r="B265" t="str">
            <v xml:space="preserve"> FORRÁSOK (PASSZÍVÁK) ÖSSZESEN</v>
          </cell>
        </row>
        <row r="267">
          <cell r="B267" t="str">
            <v>Belföldi értékesítés nettó árbevétele</v>
          </cell>
        </row>
        <row r="268">
          <cell r="B268" t="str">
            <v>Export értékesítés nettó árbevétele</v>
          </cell>
        </row>
        <row r="269">
          <cell r="B269" t="str">
            <v>Értékesítés nettó árbevétele</v>
          </cell>
        </row>
        <row r="270">
          <cell r="B270" t="str">
            <v>Saját termelésű készletek állományváltozása</v>
          </cell>
        </row>
        <row r="271">
          <cell r="B271" t="str">
            <v>Saját előállítású eszközök aktivált értéke</v>
          </cell>
        </row>
        <row r="272">
          <cell r="B272" t="str">
            <v>Aktivált saját teljesítmények  értéke</v>
          </cell>
        </row>
        <row r="273">
          <cell r="B273" t="str">
            <v>Egyéb bevételek</v>
          </cell>
        </row>
        <row r="274">
          <cell r="B274" t="str">
            <v xml:space="preserve">     III. sorból: visszaírt értékvesztés</v>
          </cell>
        </row>
        <row r="275">
          <cell r="B275" t="str">
            <v>Anyagköltség</v>
          </cell>
        </row>
        <row r="276">
          <cell r="B276" t="str">
            <v>Igénybe vett szolgáltatások értéke</v>
          </cell>
        </row>
        <row r="277">
          <cell r="B277" t="str">
            <v>Egyéb szolgáltatások értéke</v>
          </cell>
        </row>
        <row r="278">
          <cell r="B278" t="str">
            <v>Eladott áruk beszerzési értéke</v>
          </cell>
        </row>
        <row r="279">
          <cell r="B279" t="str">
            <v>Eladott (közvetített) szolgáltatások értéke</v>
          </cell>
        </row>
        <row r="280">
          <cell r="B280" t="str">
            <v>Anyag jellegű ráfordítások</v>
          </cell>
        </row>
        <row r="281">
          <cell r="B281" t="str">
            <v>Bérköltség</v>
          </cell>
        </row>
        <row r="282">
          <cell r="B282" t="str">
            <v>Személyi jellegű egyéb kifizetések</v>
          </cell>
        </row>
        <row r="283">
          <cell r="B283" t="str">
            <v>Bérjárulékok</v>
          </cell>
        </row>
        <row r="284">
          <cell r="B284" t="str">
            <v>Személyi jellegű ráfordítások</v>
          </cell>
        </row>
        <row r="285">
          <cell r="B285" t="str">
            <v>Értékcsökkenési leírás</v>
          </cell>
        </row>
        <row r="286">
          <cell r="B286" t="str">
            <v>Egyéb ráfordítások</v>
          </cell>
        </row>
        <row r="287">
          <cell r="B287" t="str">
            <v xml:space="preserve">    VII. sorból: értékvesztés</v>
          </cell>
        </row>
        <row r="288">
          <cell r="B288" t="str">
            <v>ÜZEMI (ÜZLETI) TEVÉKENYSÉG EREDMÉNYE</v>
          </cell>
        </row>
        <row r="289">
          <cell r="B289" t="str">
            <v>Kapott (járó) osztalék és részesedés</v>
          </cell>
        </row>
        <row r="290">
          <cell r="B290" t="str">
            <v>13. sorból: kapcsolt vállalkozástól kapott</v>
          </cell>
        </row>
        <row r="291">
          <cell r="B291" t="str">
            <v>Részesedésekből származó bevételek, árfolyamnyereségek</v>
          </cell>
        </row>
        <row r="292">
          <cell r="B292" t="str">
            <v>14.sorból: kapcsolt vállalkozástól kapott</v>
          </cell>
        </row>
        <row r="293">
          <cell r="B293" t="str">
            <v>Befektetett pü. eszk. (értékpapírokból, kölcsönökből) szárm. bev. árf. nyer.</v>
          </cell>
        </row>
        <row r="294">
          <cell r="B294" t="str">
            <v>15. sorból: kapcsolt vállalkozástól kapott</v>
          </cell>
        </row>
        <row r="295">
          <cell r="B295" t="str">
            <v>Egyéb kapott (járó) kamatok és kamatjellegű bevételek</v>
          </cell>
        </row>
        <row r="296">
          <cell r="B296" t="str">
            <v>16. sorból: kapcsolt vállalkozástól kapott</v>
          </cell>
        </row>
        <row r="297">
          <cell r="B297" t="str">
            <v>Pénzügyi műveletek egyéb bevételei</v>
          </cell>
        </row>
        <row r="298">
          <cell r="B298" t="str">
            <v>17. sorból: értékelési külöünbözet</v>
          </cell>
        </row>
        <row r="299">
          <cell r="B299" t="str">
            <v>Pénzügyi műveletek bevételei</v>
          </cell>
        </row>
        <row r="300">
          <cell r="B300" t="str">
            <v>Részesedésekből származó ráfordítások, árfolyamveszteségek</v>
          </cell>
        </row>
        <row r="301">
          <cell r="B301" t="str">
            <v>18.sorból: kapcsolt vállalkozásnak adott</v>
          </cell>
        </row>
        <row r="302">
          <cell r="B302" t="str">
            <v>Befektetett pü. eszk. (értékpapírokból, kölcsönökből) szárm. ráf., árf. veszt</v>
          </cell>
        </row>
        <row r="303">
          <cell r="B303" t="str">
            <v>19.sorból: kapcsolt vállalkozásnak adott</v>
          </cell>
        </row>
        <row r="304">
          <cell r="B304" t="str">
            <v>Fizetendő (fizetett) kamatok és kamatjellegű ráfordítások</v>
          </cell>
        </row>
        <row r="305">
          <cell r="B305" t="str">
            <v>20.sorból: kapcsolt vállalkozásnak adott</v>
          </cell>
        </row>
        <row r="306">
          <cell r="B306" t="str">
            <v>Részesedések, értékpapírok, bankbetétek értékvesztése</v>
          </cell>
        </row>
        <row r="307">
          <cell r="B307" t="str">
            <v>Pénzügyi műveletek egyéb ráfordításai</v>
          </cell>
        </row>
        <row r="308">
          <cell r="B308" t="str">
            <v>22. sorból: értékelési különbözet</v>
          </cell>
        </row>
        <row r="309">
          <cell r="B309" t="str">
            <v>Pénzügyi műveletek ráfordításai</v>
          </cell>
        </row>
        <row r="310">
          <cell r="B310" t="str">
            <v>PÉNZÜGYI MŰVELETEK EREDMÉNYE</v>
          </cell>
        </row>
        <row r="311">
          <cell r="B311" t="str">
            <v>ADÓZÁS ELŐTTI EREDMÉNY</v>
          </cell>
        </row>
        <row r="312">
          <cell r="B312" t="str">
            <v>Adófizetési kötelezettség</v>
          </cell>
        </row>
        <row r="313">
          <cell r="B313" t="str">
            <v>ADÓZOTT EREDMÉNY</v>
          </cell>
        </row>
        <row r="317">
          <cell r="B317" t="str">
            <v>2016.12.31. Várható</v>
          </cell>
        </row>
        <row r="318">
          <cell r="B318" t="str">
            <v>2016.12.31. Tény</v>
          </cell>
        </row>
        <row r="319">
          <cell r="B319" t="str">
            <v>2017.03.31. Terv</v>
          </cell>
        </row>
        <row r="320">
          <cell r="B320" t="str">
            <v>2017.03.31. Tény</v>
          </cell>
        </row>
        <row r="321">
          <cell r="B321" t="str">
            <v>2017.06.30. Terv</v>
          </cell>
        </row>
        <row r="322">
          <cell r="B322" t="str">
            <v>2017.06.30. Tény</v>
          </cell>
        </row>
        <row r="323">
          <cell r="B323" t="str">
            <v>2017.09.30. Terv</v>
          </cell>
        </row>
        <row r="324">
          <cell r="B324" t="str">
            <v>2017.09.30. Tény</v>
          </cell>
        </row>
        <row r="325">
          <cell r="B325" t="str">
            <v>2017.12.31. Terv</v>
          </cell>
        </row>
        <row r="326">
          <cell r="B326" t="str">
            <v>2017.12.31. Várható</v>
          </cell>
        </row>
        <row r="327">
          <cell r="B327" t="str">
            <v>2018.12.31. Terv</v>
          </cell>
        </row>
        <row r="328">
          <cell r="B328" t="str">
            <v>2019.12.31. Terv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itöltési útmutató"/>
      <sheetName val="segédtábla"/>
      <sheetName val="Előlap"/>
      <sheetName val="Jelentés"/>
      <sheetName val="jelentés kieg lap"/>
      <sheetName val="1. Mérleg"/>
      <sheetName val="2. Eredménykimutatás"/>
      <sheetName val="3. Céltartalék és Értékvesztés"/>
      <sheetName val="4. Egyéb bev. és ráf."/>
      <sheetName val="5. Működési költség"/>
      <sheetName val="6. Humán"/>
      <sheetName val="7. Részesedések"/>
      <sheetName val="8. Beruházás"/>
      <sheetName val="9. Likviditási terv"/>
      <sheetName val="10. KPI mutatók"/>
      <sheetName val="Közbeszerzési terv_"/>
      <sheetName val="NFM támogatások"/>
      <sheetName val="Megjegyzések"/>
    </sheetNames>
    <sheetDataSet>
      <sheetData sheetId="0"/>
      <sheetData sheetId="1"/>
      <sheetData sheetId="2"/>
      <sheetData sheetId="3"/>
      <sheetData sheetId="4">
        <row r="156">
          <cell r="B156" t="str">
            <v>Átlag létszám (fő)</v>
          </cell>
        </row>
        <row r="157">
          <cell r="B157" t="str">
            <v>Záró létszám (fő)</v>
          </cell>
        </row>
        <row r="160">
          <cell r="B160" t="str">
            <v>BEFEKTETETT ESZKÖZÖK</v>
          </cell>
        </row>
        <row r="161">
          <cell r="B161" t="str">
            <v>IMMATERIÁLIS JAVAK</v>
          </cell>
        </row>
        <row r="162">
          <cell r="B162" t="str">
            <v xml:space="preserve"> Alapítás - átszervezés aktivált értéke </v>
          </cell>
        </row>
        <row r="163">
          <cell r="B163" t="str">
            <v xml:space="preserve"> Kísérleti fejlesztés aktivált értéke </v>
          </cell>
        </row>
        <row r="164">
          <cell r="B164" t="str">
            <v xml:space="preserve"> Vagyoni értékű jogok </v>
          </cell>
        </row>
        <row r="165">
          <cell r="B165" t="str">
            <v xml:space="preserve"> Szellemi termékek </v>
          </cell>
        </row>
        <row r="166">
          <cell r="B166" t="str">
            <v xml:space="preserve"> Üzleti vagy cégérték </v>
          </cell>
        </row>
        <row r="167">
          <cell r="B167" t="str">
            <v xml:space="preserve"> Immateriális javakra adott előlegek</v>
          </cell>
        </row>
        <row r="168">
          <cell r="B168" t="str">
            <v>Immateriális javak értékhelyesbítése</v>
          </cell>
        </row>
        <row r="169">
          <cell r="B169" t="str">
            <v>TÁRGYI ESZKÖZÖK</v>
          </cell>
        </row>
        <row r="170">
          <cell r="B170" t="str">
            <v xml:space="preserve"> Ingatlanok és a kapcsolódó vagyoni értékű jogok</v>
          </cell>
        </row>
        <row r="171">
          <cell r="B171" t="str">
            <v xml:space="preserve"> Műszaki berendezések, gépek, járművek </v>
          </cell>
        </row>
        <row r="172">
          <cell r="B172" t="str">
            <v xml:space="preserve"> Egyéb berendezések, felszerelések, járművek </v>
          </cell>
        </row>
        <row r="173">
          <cell r="B173" t="str">
            <v xml:space="preserve"> Tenyészállatok</v>
          </cell>
        </row>
        <row r="174">
          <cell r="B174" t="str">
            <v xml:space="preserve"> Beruházások, felújítások </v>
          </cell>
        </row>
        <row r="175">
          <cell r="B175" t="str">
            <v xml:space="preserve"> Beruházásokra adott előlegek </v>
          </cell>
        </row>
        <row r="176">
          <cell r="B176" t="str">
            <v>Tárgyi eszközök értékhelyesbítése</v>
          </cell>
        </row>
        <row r="177">
          <cell r="B177" t="str">
            <v xml:space="preserve"> BEFEKTETETT PÉNZÜGYI ESZKÖZÖK</v>
          </cell>
        </row>
        <row r="178">
          <cell r="B178" t="str">
            <v xml:space="preserve"> Tartós részesedés kapcsolt vállalkozásban</v>
          </cell>
        </row>
        <row r="179">
          <cell r="B179" t="str">
            <v xml:space="preserve"> Tartósan adott kölcsön kapcsolt vállalkozásban</v>
          </cell>
        </row>
        <row r="180">
          <cell r="B180" t="str">
            <v xml:space="preserve"> Tartós jelentős tulajdoni részesedés</v>
          </cell>
        </row>
        <row r="181">
          <cell r="B181" t="str">
            <v xml:space="preserve"> Tartósan adott kölcsön jelentős tulajdoni részesedési viszonyban álló vállalkozásban</v>
          </cell>
        </row>
        <row r="182">
          <cell r="B182" t="str">
            <v xml:space="preserve"> Egyéb tartós részesedés</v>
          </cell>
        </row>
        <row r="183">
          <cell r="B183" t="str">
            <v xml:space="preserve"> Tartósan adott kölcsön egyéb részesedési viszonyban álló váll.</v>
          </cell>
        </row>
        <row r="184">
          <cell r="B184" t="str">
            <v xml:space="preserve"> Egyéb tartósan adott kölcsön</v>
          </cell>
        </row>
        <row r="185">
          <cell r="B185" t="str">
            <v xml:space="preserve"> Tartós hitelviszonyt megtestesítő értékpapír</v>
          </cell>
        </row>
        <row r="186">
          <cell r="B186" t="str">
            <v xml:space="preserve"> Befektetett pénzügyi eszközök értékhelyesbítése</v>
          </cell>
        </row>
        <row r="187">
          <cell r="B187" t="str">
            <v xml:space="preserve"> FORGÓESZKÖZÖK</v>
          </cell>
        </row>
        <row r="188">
          <cell r="B188" t="str">
            <v xml:space="preserve"> KÉSZLETEK</v>
          </cell>
        </row>
        <row r="189">
          <cell r="B189" t="str">
            <v xml:space="preserve"> Anyagok </v>
          </cell>
        </row>
        <row r="190">
          <cell r="B190" t="str">
            <v xml:space="preserve"> Befejezetlen termelés és félkész termékek </v>
          </cell>
        </row>
        <row r="191">
          <cell r="B191" t="str">
            <v xml:space="preserve"> Növendék-, hízó- és egyéb állatok</v>
          </cell>
        </row>
        <row r="192">
          <cell r="B192" t="str">
            <v xml:space="preserve"> Késztermékek </v>
          </cell>
        </row>
        <row r="193">
          <cell r="B193" t="str">
            <v xml:space="preserve"> Áruk </v>
          </cell>
        </row>
        <row r="194">
          <cell r="B194" t="str">
            <v xml:space="preserve"> Készletekre adott előlegek </v>
          </cell>
        </row>
        <row r="195">
          <cell r="B195" t="str">
            <v xml:space="preserve"> KÖVETELÉSEK</v>
          </cell>
        </row>
        <row r="196">
          <cell r="B196" t="str">
            <v>Követelések áruszállításból és szolgáltatásból (vevők)</v>
          </cell>
        </row>
        <row r="197">
          <cell r="B197" t="str">
            <v xml:space="preserve"> Követelések kapcsolt vállalkozásokkal szemben</v>
          </cell>
        </row>
        <row r="198">
          <cell r="B198" t="str">
            <v xml:space="preserve"> Követelések jelentős tulajdoni részesedési viszonyban lévő vállalkozással szemben</v>
          </cell>
        </row>
        <row r="199">
          <cell r="B199" t="str">
            <v xml:space="preserve"> Követelések egyéb részesedési viszonyban lévő váll. szemben</v>
          </cell>
        </row>
        <row r="200">
          <cell r="B200" t="str">
            <v xml:space="preserve"> Váltókövetelések</v>
          </cell>
        </row>
        <row r="201">
          <cell r="B201" t="str">
            <v xml:space="preserve"> Egyéb követelések</v>
          </cell>
        </row>
        <row r="202">
          <cell r="B202" t="str">
            <v xml:space="preserve"> Követelések értékelési különbözete</v>
          </cell>
        </row>
        <row r="203">
          <cell r="B203" t="str">
            <v xml:space="preserve"> Származékos ügyletek pozitív értékelési különbözete</v>
          </cell>
        </row>
        <row r="204">
          <cell r="B204" t="str">
            <v xml:space="preserve"> ÉRTÉKPAPÍROK</v>
          </cell>
        </row>
        <row r="205">
          <cell r="B205" t="str">
            <v xml:space="preserve"> Részesedés kapcsolt vállalkozásban</v>
          </cell>
        </row>
        <row r="206">
          <cell r="B206" t="str">
            <v xml:space="preserve"> Jelentős tulajdoni részesedés</v>
          </cell>
        </row>
        <row r="207">
          <cell r="B207" t="str">
            <v xml:space="preserve"> Egyéb részesedés</v>
          </cell>
        </row>
        <row r="208">
          <cell r="B208" t="str">
            <v xml:space="preserve"> Saját részvények, saját üzletrészek</v>
          </cell>
        </row>
        <row r="209">
          <cell r="B209" t="str">
            <v xml:space="preserve"> Forgatási célú hitelviszonyt megtestesítő értékpapírok</v>
          </cell>
        </row>
        <row r="210">
          <cell r="B210" t="str">
            <v xml:space="preserve"> Értékpapírok értékelési különbözete</v>
          </cell>
        </row>
        <row r="211">
          <cell r="B211" t="str">
            <v xml:space="preserve"> PÉNZESZKÖZÖK</v>
          </cell>
        </row>
        <row r="212">
          <cell r="B212" t="str">
            <v xml:space="preserve"> Pénztár, csekkek </v>
          </cell>
        </row>
        <row r="213">
          <cell r="B213" t="str">
            <v xml:space="preserve"> Bankbetétek </v>
          </cell>
        </row>
        <row r="214">
          <cell r="B214" t="str">
            <v xml:space="preserve"> AKTÍV IDŐBELI ELHATÁROLÁSOK </v>
          </cell>
        </row>
        <row r="215">
          <cell r="B215" t="str">
            <v xml:space="preserve"> Bevételek aktív időbeli elhatárolása</v>
          </cell>
        </row>
        <row r="216">
          <cell r="B216" t="str">
            <v xml:space="preserve"> Költségek, ráfordítások aktív időbeli elhatárolása</v>
          </cell>
        </row>
        <row r="217">
          <cell r="B217" t="str">
            <v xml:space="preserve"> Halasztott ráfordítások</v>
          </cell>
        </row>
        <row r="218">
          <cell r="B218" t="str">
            <v xml:space="preserve"> ESZKÖZÖK (AKTÍVÁK) ÖSSZESEN</v>
          </cell>
        </row>
        <row r="219">
          <cell r="B219" t="str">
            <v xml:space="preserve"> SAJÁT TŐKE</v>
          </cell>
        </row>
        <row r="220">
          <cell r="B220" t="str">
            <v xml:space="preserve"> Jegyzett tőke  </v>
          </cell>
        </row>
        <row r="221">
          <cell r="B221" t="str">
            <v xml:space="preserve"> Ebből:  visszavásárolt tulajdonosi részesedés névértéken</v>
          </cell>
        </row>
        <row r="222">
          <cell r="B222" t="str">
            <v xml:space="preserve"> Jegyzett, de még be nem fizetett tőke (-)</v>
          </cell>
        </row>
        <row r="223">
          <cell r="B223" t="str">
            <v xml:space="preserve"> Tőketartalék </v>
          </cell>
        </row>
        <row r="224">
          <cell r="B224" t="str">
            <v xml:space="preserve"> Eredménytartalék </v>
          </cell>
        </row>
        <row r="225">
          <cell r="B225" t="str">
            <v xml:space="preserve"> Lekötött tartalék</v>
          </cell>
        </row>
        <row r="226">
          <cell r="B226" t="str">
            <v xml:space="preserve"> Értékelési tartalék</v>
          </cell>
        </row>
        <row r="227">
          <cell r="B227" t="str">
            <v xml:space="preserve"> Adózott eredmény</v>
          </cell>
        </row>
        <row r="228">
          <cell r="B228" t="str">
            <v xml:space="preserve"> CÉLTARTALÉKOK</v>
          </cell>
        </row>
        <row r="229">
          <cell r="B229" t="str">
            <v xml:space="preserve"> Céltartalék a várható kötelezettségekre </v>
          </cell>
        </row>
        <row r="230">
          <cell r="B230" t="str">
            <v xml:space="preserve"> Céltartalék a jövőbeni költségekre </v>
          </cell>
        </row>
        <row r="231">
          <cell r="B231" t="str">
            <v xml:space="preserve"> Egyéb céltartalék </v>
          </cell>
        </row>
        <row r="232">
          <cell r="B232" t="str">
            <v xml:space="preserve"> KÖTELEZETTSÉGEK</v>
          </cell>
        </row>
        <row r="233">
          <cell r="B233" t="str">
            <v xml:space="preserve"> HÁTRASOROLT KÖTELEZETTSÉGEK </v>
          </cell>
        </row>
        <row r="234">
          <cell r="B234" t="str">
            <v xml:space="preserve"> Hátrasorolt kötelezettségek kapcsolt vállalkozással szemben</v>
          </cell>
        </row>
        <row r="235">
          <cell r="B235" t="str">
            <v xml:space="preserve"> Hátrasorolt kötelezettségek jelentős tulajdoni viszonyban lévő vállalkozással szemben</v>
          </cell>
        </row>
        <row r="236">
          <cell r="B236" t="str">
            <v xml:space="preserve"> Hátrasorolt kötelezettségek egyéb rész. viszonyban lévő váll. szemben</v>
          </cell>
        </row>
        <row r="237">
          <cell r="B237" t="str">
            <v xml:space="preserve"> Hátrasorolt kötelezettségek egyéb gazdálkodóval szemben</v>
          </cell>
        </row>
        <row r="238">
          <cell r="B238" t="str">
            <v xml:space="preserve"> HOSSZÚ LEJÁRATÚ KÖTELEZETTSÉGEK </v>
          </cell>
        </row>
        <row r="239">
          <cell r="B239" t="str">
            <v xml:space="preserve"> Hosszú lejáratra kapott kölcsönök </v>
          </cell>
        </row>
        <row r="240">
          <cell r="B240" t="str">
            <v xml:space="preserve"> Átváltoztatható kötvények</v>
          </cell>
        </row>
        <row r="241">
          <cell r="B241" t="str">
            <v xml:space="preserve"> Tartozások kötvénykibocsátásból </v>
          </cell>
        </row>
        <row r="242">
          <cell r="B242" t="str">
            <v xml:space="preserve"> Beruházási és fejlesztési hitelek </v>
          </cell>
        </row>
        <row r="243">
          <cell r="B243" t="str">
            <v xml:space="preserve"> Egyéb hosszú lejáratú hitelek </v>
          </cell>
        </row>
        <row r="244">
          <cell r="B244" t="str">
            <v xml:space="preserve"> Tartós kötelezettségek kapcsolt vállalkozással szemben</v>
          </cell>
        </row>
        <row r="245">
          <cell r="B245" t="str">
            <v xml:space="preserve"> Tartós kötelezettségek jelentős tulajdoni részesedési viszonyban lévő vállalkozásokkal szemben</v>
          </cell>
        </row>
        <row r="246">
          <cell r="B246" t="str">
            <v xml:space="preserve"> Tartós kötelezettségek egyéb rész. visz. lévő váll. szemben</v>
          </cell>
        </row>
        <row r="247">
          <cell r="B247" t="str">
            <v xml:space="preserve"> Egyéb hosszú lejáratú kötelezettségek</v>
          </cell>
        </row>
        <row r="248">
          <cell r="B248" t="str">
            <v xml:space="preserve"> RÖVID LEJÁRATÚ KÖTELEZETTSÉGEK</v>
          </cell>
        </row>
        <row r="249">
          <cell r="B249" t="str">
            <v xml:space="preserve"> Rövid lejáratú kölcsönök </v>
          </cell>
        </row>
        <row r="250">
          <cell r="B250" t="str">
            <v xml:space="preserve"> Ebből: az átváltoztatható kötvények</v>
          </cell>
        </row>
        <row r="251">
          <cell r="B251" t="str">
            <v xml:space="preserve"> Rövid lejáratú hitelek </v>
          </cell>
        </row>
        <row r="252">
          <cell r="B252" t="str">
            <v xml:space="preserve"> Vevőtől kapott előlegek</v>
          </cell>
        </row>
        <row r="253">
          <cell r="B253" t="str">
            <v xml:space="preserve"> Kötelezettségek áruszállításból és szolgáltatásból (szállítók )</v>
          </cell>
        </row>
        <row r="254">
          <cell r="B254" t="str">
            <v xml:space="preserve"> Váltótartozások </v>
          </cell>
        </row>
        <row r="255">
          <cell r="B255" t="str">
            <v xml:space="preserve"> Rövid lejáratú kötelezettségek kapcsolt vállalkozással szemben</v>
          </cell>
        </row>
        <row r="256">
          <cell r="B256" t="str">
            <v xml:space="preserve"> Rövid lej. köt. jelentős tulajdoni rész. visz. lévő vállalkozásokkal szemben</v>
          </cell>
        </row>
        <row r="257">
          <cell r="B257" t="str">
            <v xml:space="preserve"> Rövid lejáratú kötelezettségek egyéb rész. visz. lévő váll.szemben</v>
          </cell>
        </row>
        <row r="258">
          <cell r="B258" t="str">
            <v xml:space="preserve"> Egyéb rövid lejáratú kötelezettségek</v>
          </cell>
        </row>
        <row r="259">
          <cell r="B259" t="str">
            <v xml:space="preserve"> Kötelezettségek értékelési különbözete</v>
          </cell>
        </row>
        <row r="260">
          <cell r="B260" t="str">
            <v xml:space="preserve"> Származékos ügyletek negatív értékelési különbözete</v>
          </cell>
        </row>
        <row r="261">
          <cell r="B261" t="str">
            <v>PASSZÍV IDŐBELI ELHATÁROLÁSOK</v>
          </cell>
        </row>
        <row r="262">
          <cell r="B262" t="str">
            <v xml:space="preserve"> Bevételek passzív időbeli elhatárolása</v>
          </cell>
        </row>
        <row r="263">
          <cell r="B263" t="str">
            <v xml:space="preserve"> Költségek, ráfordítások passzív időbeli elhatárolása</v>
          </cell>
        </row>
        <row r="264">
          <cell r="B264" t="str">
            <v xml:space="preserve"> Halasztott bevételek</v>
          </cell>
        </row>
        <row r="265">
          <cell r="B265" t="str">
            <v xml:space="preserve"> FORRÁSOK (PASSZÍVÁK) ÖSSZESEN</v>
          </cell>
        </row>
        <row r="267">
          <cell r="B267" t="str">
            <v>Belföldi értékesítés nettó árbevétele</v>
          </cell>
        </row>
        <row r="268">
          <cell r="B268" t="str">
            <v>Export értékesítés nettó árbevétele</v>
          </cell>
        </row>
        <row r="269">
          <cell r="B269" t="str">
            <v>Értékesítés nettó árbevétele</v>
          </cell>
        </row>
        <row r="270">
          <cell r="B270" t="str">
            <v>Saját termelésű készletek állományváltozása</v>
          </cell>
        </row>
        <row r="271">
          <cell r="B271" t="str">
            <v>Saját előállítású eszközök aktivált értéke</v>
          </cell>
        </row>
        <row r="272">
          <cell r="B272" t="str">
            <v>Aktivált saját teljesítmények  értéke</v>
          </cell>
        </row>
        <row r="273">
          <cell r="B273" t="str">
            <v>Egyéb bevételek</v>
          </cell>
        </row>
        <row r="274">
          <cell r="B274" t="str">
            <v xml:space="preserve">     III. sorból: visszaírt értékvesztés</v>
          </cell>
        </row>
        <row r="275">
          <cell r="B275" t="str">
            <v>Anyagköltség</v>
          </cell>
        </row>
        <row r="276">
          <cell r="B276" t="str">
            <v>Igénybe vett szolgáltatások értéke</v>
          </cell>
        </row>
        <row r="277">
          <cell r="B277" t="str">
            <v>Egyéb szolgáltatások értéke</v>
          </cell>
        </row>
        <row r="278">
          <cell r="B278" t="str">
            <v>Eladott áruk beszerzési értéke</v>
          </cell>
        </row>
        <row r="279">
          <cell r="B279" t="str">
            <v>Eladott (közvetített) szolgáltatások értéke</v>
          </cell>
        </row>
        <row r="280">
          <cell r="B280" t="str">
            <v>Anyag jellegű ráfordítások</v>
          </cell>
        </row>
        <row r="281">
          <cell r="B281" t="str">
            <v>Bérköltség</v>
          </cell>
        </row>
        <row r="282">
          <cell r="B282" t="str">
            <v>Személyi jellegű egyéb kifizetések</v>
          </cell>
        </row>
        <row r="283">
          <cell r="B283" t="str">
            <v>Bérjárulékok</v>
          </cell>
        </row>
        <row r="284">
          <cell r="B284" t="str">
            <v>Személyi jellegű ráfordítások</v>
          </cell>
        </row>
        <row r="285">
          <cell r="B285" t="str">
            <v>Értékcsökkenési leírás</v>
          </cell>
        </row>
        <row r="286">
          <cell r="B286" t="str">
            <v>Egyéb ráfordítások</v>
          </cell>
        </row>
        <row r="287">
          <cell r="B287" t="str">
            <v xml:space="preserve">    VII. sorból: értékvesztés</v>
          </cell>
        </row>
        <row r="288">
          <cell r="B288" t="str">
            <v>ÜZEMI (ÜZLETI) TEVÉKENYSÉG EREDMÉNYE</v>
          </cell>
        </row>
        <row r="289">
          <cell r="B289" t="str">
            <v>Kapott (járó) osztalék és részesedés</v>
          </cell>
        </row>
        <row r="290">
          <cell r="B290" t="str">
            <v>13. sorból: kapcsolt vállalkozástól kapott</v>
          </cell>
        </row>
        <row r="291">
          <cell r="B291" t="str">
            <v>Részesedésekből származó bevételek, árfolyamnyereségek</v>
          </cell>
        </row>
        <row r="292">
          <cell r="B292" t="str">
            <v>14.sorból: kapcsolt vállalkozástól kapott</v>
          </cell>
        </row>
        <row r="293">
          <cell r="B293" t="str">
            <v>Befektetett pü. eszk. (értékpapírokból, kölcsönökből) szárm. bev. árf. nyer.</v>
          </cell>
        </row>
        <row r="294">
          <cell r="B294" t="str">
            <v>15. sorból: kapcsolt vállalkozástól kapott</v>
          </cell>
        </row>
        <row r="295">
          <cell r="B295" t="str">
            <v>Egyéb kapott (járó) kamatok és kamatjellegű bevételek</v>
          </cell>
        </row>
        <row r="296">
          <cell r="B296" t="str">
            <v>16. sorból: kapcsolt vállalkozástól kapott</v>
          </cell>
        </row>
        <row r="297">
          <cell r="B297" t="str">
            <v>Pénzügyi műveletek egyéb bevételei</v>
          </cell>
        </row>
        <row r="298">
          <cell r="B298" t="str">
            <v>17. sorból: értékelési külöünbözet</v>
          </cell>
        </row>
        <row r="299">
          <cell r="B299" t="str">
            <v>Pénzügyi műveletek bevételei</v>
          </cell>
        </row>
        <row r="300">
          <cell r="B300" t="str">
            <v>Részesedésekből származó ráfordítások, árfolyamveszteségek</v>
          </cell>
        </row>
        <row r="301">
          <cell r="B301" t="str">
            <v>18.sorból: kapcsolt vállalkozásnak adott</v>
          </cell>
        </row>
        <row r="302">
          <cell r="B302" t="str">
            <v>Befektetett pü. eszk. (értékpapírokból, kölcsönökből) szárm. ráf., árf. veszt</v>
          </cell>
        </row>
        <row r="303">
          <cell r="B303" t="str">
            <v>19.sorból: kapcsolt vállalkozásnak adott</v>
          </cell>
        </row>
        <row r="304">
          <cell r="B304" t="str">
            <v>Fizetendő (fizetett) kamatok és kamatjellegű ráfordítások</v>
          </cell>
        </row>
        <row r="305">
          <cell r="B305" t="str">
            <v>20.sorból: kapcsolt vállalkozásnak adott</v>
          </cell>
        </row>
        <row r="306">
          <cell r="B306" t="str">
            <v>Részesedések, értékpapírok, bankbetétek értékvesztése</v>
          </cell>
        </row>
        <row r="307">
          <cell r="B307" t="str">
            <v>Pénzügyi műveletek egyéb ráfordításai</v>
          </cell>
        </row>
        <row r="308">
          <cell r="B308" t="str">
            <v>22. sorból: értékelési különbözet</v>
          </cell>
        </row>
        <row r="309">
          <cell r="B309" t="str">
            <v>Pénzügyi műveletek ráfordításai</v>
          </cell>
        </row>
        <row r="310">
          <cell r="B310" t="str">
            <v>PÉNZÜGYI MŰVELETEK EREDMÉNYE</v>
          </cell>
        </row>
        <row r="311">
          <cell r="B311" t="str">
            <v>ADÓZÁS ELŐTTI EREDMÉNY</v>
          </cell>
        </row>
        <row r="312">
          <cell r="B312" t="str">
            <v>Adófizetési kötelezettség</v>
          </cell>
        </row>
        <row r="313">
          <cell r="B313" t="str">
            <v>ADÓZOTT EREDMÉNY</v>
          </cell>
        </row>
        <row r="317">
          <cell r="B317" t="str">
            <v>2016.12.31. Várható</v>
          </cell>
        </row>
        <row r="318">
          <cell r="B318" t="str">
            <v>2016.12.31. Tény</v>
          </cell>
        </row>
        <row r="319">
          <cell r="B319" t="str">
            <v>2017.03.31. Terv</v>
          </cell>
        </row>
        <row r="320">
          <cell r="B320" t="str">
            <v>2017.03.31. Tény</v>
          </cell>
        </row>
        <row r="321">
          <cell r="B321" t="str">
            <v>2017.06.30. Terv</v>
          </cell>
        </row>
        <row r="322">
          <cell r="B322" t="str">
            <v>2017.06.30. Tény</v>
          </cell>
        </row>
        <row r="323">
          <cell r="B323" t="str">
            <v>2017.09.30. Terv</v>
          </cell>
        </row>
        <row r="324">
          <cell r="B324" t="str">
            <v>2017.09.30. Tény</v>
          </cell>
        </row>
        <row r="325">
          <cell r="B325" t="str">
            <v>2017.12.31. Terv</v>
          </cell>
        </row>
        <row r="326">
          <cell r="B326" t="str">
            <v>2017.12.31. Várható</v>
          </cell>
        </row>
        <row r="327">
          <cell r="B327" t="str">
            <v>2018.12.31. Terv</v>
          </cell>
        </row>
        <row r="328">
          <cell r="B328" t="str">
            <v>2019.12.31. Terv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ap"/>
      <sheetName val="Küldhető"/>
      <sheetName val="1. számú melléklet"/>
      <sheetName val="3. számú melléklet"/>
      <sheetName val="4. számú melléklet"/>
      <sheetName val="7. számú melléklet"/>
      <sheetName val="10. számú melléklet"/>
      <sheetName val="13. számú melléklet"/>
      <sheetName val="TC-alap"/>
      <sheetName val="Expo"/>
      <sheetName val="Divat"/>
      <sheetName val="Michelin"/>
      <sheetName val="1__számú_melléklet"/>
      <sheetName val="3__számú_melléklet"/>
      <sheetName val="4__számú_melléklet"/>
      <sheetName val="7__számú_melléklet"/>
      <sheetName val="10__számú_melléklet"/>
      <sheetName val="13__számú_melléklet"/>
      <sheetName val="1__számú_melléklet1"/>
      <sheetName val="3__számú_melléklet1"/>
      <sheetName val="4__számú_melléklet1"/>
      <sheetName val="7__számú_melléklet1"/>
      <sheetName val="10__számú_melléklet1"/>
      <sheetName val="13__számú_mellékl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T1" t="str">
            <v>Marketing és fejlesztés</v>
          </cell>
          <cell r="V1" t="str">
            <v>Eszközök beszerzése, beruh.</v>
          </cell>
        </row>
        <row r="2">
          <cell r="T2" t="str">
            <v>Működés</v>
          </cell>
          <cell r="V2" t="str">
            <v>Szellemi termékek</v>
          </cell>
        </row>
        <row r="3">
          <cell r="T3" t="str">
            <v>GINOP</v>
          </cell>
          <cell r="V3" t="str">
            <v>Anyagköltség</v>
          </cell>
        </row>
        <row r="4">
          <cell r="V4" t="str">
            <v>Igénybevett szolg. ktg</v>
          </cell>
        </row>
        <row r="5">
          <cell r="V5" t="str">
            <v>Egyéb szolg. ktg</v>
          </cell>
        </row>
        <row r="6">
          <cell r="V6" t="str">
            <v>Bérköltség</v>
          </cell>
        </row>
        <row r="7">
          <cell r="V7" t="str">
            <v>Személyi jellegű egyéb kifizetések</v>
          </cell>
        </row>
        <row r="8">
          <cell r="V8" t="str">
            <v>Bérjárulékok</v>
          </cell>
        </row>
        <row r="9">
          <cell r="V9" t="str">
            <v>Egyéb ráfordítások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ák"/>
      <sheetName val="Munka1"/>
      <sheetName val="Terv E"/>
      <sheetName val="Tény E"/>
      <sheetName val="sum"/>
      <sheetName val="alap E"/>
      <sheetName val="Terv"/>
      <sheetName val="Terv2"/>
      <sheetName val="Terv 3"/>
      <sheetName val="Bevétel"/>
      <sheetName val="Tény"/>
      <sheetName val="Kötváll"/>
      <sheetName val="Kötváll - tervezett"/>
      <sheetName val="Kötváll - előrejelzett"/>
      <sheetName val="Forrás-Terület"/>
      <sheetName val="Forrás - ppt"/>
      <sheetName val="Alap"/>
      <sheetName val="VEZIG TÁBLA"/>
      <sheetName val="Alap-Vezig"/>
      <sheetName val="Alap-Általános vezigh"/>
      <sheetName val="Alap-Turizmus fejlesztés"/>
      <sheetName val="Alap-Gazdaság"/>
      <sheetName val="Alap-Szálláshely és Vendéglátás"/>
      <sheetName val="Alap-HR"/>
      <sheetName val="Alap-Jog"/>
      <sheetName val="Alap-IT"/>
      <sheetName val="Projektek"/>
      <sheetName val="TFH"/>
      <sheetName val="Bankszámlák"/>
      <sheetName val="NFM utalások"/>
      <sheetName val="Közbeszerzés keret"/>
      <sheetName val="Közbeszerzés szakmai"/>
      <sheetName val="Top 10 projekt"/>
      <sheetName val="HR"/>
      <sheetName val="Versenyeztetési eljárások hazai"/>
      <sheetName val="Versenyeztetési eljárások GINOP"/>
      <sheetName val="Külső cégek"/>
      <sheetName val="Költséghely"/>
      <sheetName val="Forráskód"/>
      <sheetName val="Főkönyvi karton lista"/>
      <sheetName val="Szerződés terv-tén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Terület</v>
          </cell>
        </row>
      </sheetData>
      <sheetData sheetId="9">
        <row r="1">
          <cell r="C1" t="str">
            <v>összeg</v>
          </cell>
        </row>
      </sheetData>
      <sheetData sheetId="10">
        <row r="1">
          <cell r="L1" t="str">
            <v>Témaszám kód</v>
          </cell>
        </row>
      </sheetData>
      <sheetData sheetId="11">
        <row r="1">
          <cell r="N1" t="str">
            <v>T. szám kód</v>
          </cell>
        </row>
      </sheetData>
      <sheetData sheetId="12">
        <row r="1">
          <cell r="F1" t="str">
            <v>Témaszám kód</v>
          </cell>
        </row>
      </sheetData>
      <sheetData sheetId="13"/>
      <sheetData sheetId="14"/>
      <sheetData sheetId="15"/>
      <sheetData sheetId="16">
        <row r="2">
          <cell r="T2" t="str">
            <v>2018 Január</v>
          </cell>
        </row>
        <row r="3">
          <cell r="T3" t="str">
            <v>2018 Február</v>
          </cell>
        </row>
        <row r="4">
          <cell r="T4" t="str">
            <v>2018 Március</v>
          </cell>
        </row>
        <row r="5">
          <cell r="T5" t="str">
            <v>2018 Április</v>
          </cell>
        </row>
        <row r="6">
          <cell r="T6" t="str">
            <v>2018 Május</v>
          </cell>
        </row>
        <row r="7">
          <cell r="T7" t="str">
            <v>2018 Június</v>
          </cell>
        </row>
        <row r="8">
          <cell r="T8" t="str">
            <v xml:space="preserve">2018 Július </v>
          </cell>
        </row>
        <row r="9">
          <cell r="T9" t="str">
            <v>2018 Augusztus</v>
          </cell>
        </row>
        <row r="10">
          <cell r="T10" t="str">
            <v>2018 Szeptember</v>
          </cell>
        </row>
        <row r="11">
          <cell r="T11" t="str">
            <v>2018 Október</v>
          </cell>
        </row>
        <row r="12">
          <cell r="T12" t="str">
            <v>2018 November</v>
          </cell>
        </row>
        <row r="13">
          <cell r="T13" t="str">
            <v>2018 December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4"/>
  <dimension ref="A1:S27"/>
  <sheetViews>
    <sheetView topLeftCell="H1" workbookViewId="0">
      <selection activeCell="L17" sqref="L17"/>
    </sheetView>
  </sheetViews>
  <sheetFormatPr defaultRowHeight="13.8" x14ac:dyDescent="0.25"/>
  <cols>
    <col min="1" max="1" width="23.296875" hidden="1" customWidth="1"/>
    <col min="2" max="2" width="9.69921875" hidden="1" customWidth="1"/>
    <col min="3" max="3" width="9.09765625" hidden="1" customWidth="1"/>
    <col min="4" max="4" width="5.19921875" hidden="1" customWidth="1"/>
    <col min="5" max="5" width="11.296875" hidden="1" customWidth="1"/>
    <col min="6" max="6" width="16.296875" hidden="1" customWidth="1"/>
    <col min="7" max="7" width="20.296875" hidden="1" customWidth="1"/>
    <col min="8" max="8" width="36.69921875" bestFit="1" customWidth="1"/>
    <col min="9" max="9" width="10.09765625" customWidth="1"/>
    <col min="10" max="10" width="9.59765625" customWidth="1"/>
    <col min="11" max="11" width="8.59765625" style="10"/>
    <col min="12" max="12" width="16.59765625" style="10" customWidth="1"/>
    <col min="13" max="13" width="14.09765625" style="10" customWidth="1"/>
    <col min="14" max="14" width="14.09765625" customWidth="1"/>
    <col min="15" max="15" width="17.796875" customWidth="1"/>
    <col min="16" max="16" width="13.296875" customWidth="1"/>
    <col min="17" max="17" width="12.5" bestFit="1" customWidth="1"/>
    <col min="18" max="18" width="12.69921875" bestFit="1" customWidth="1"/>
  </cols>
  <sheetData>
    <row r="1" spans="1:19" x14ac:dyDescent="0.25">
      <c r="A1" t="s">
        <v>16</v>
      </c>
      <c r="B1" t="s">
        <v>17</v>
      </c>
      <c r="H1" s="2" t="s">
        <v>16</v>
      </c>
      <c r="I1" s="2" t="s">
        <v>17</v>
      </c>
      <c r="J1" t="s">
        <v>143</v>
      </c>
      <c r="K1" s="10" t="s">
        <v>144</v>
      </c>
      <c r="L1" s="10" t="s">
        <v>271</v>
      </c>
      <c r="M1" s="10" t="s">
        <v>279</v>
      </c>
      <c r="N1" s="10" t="s">
        <v>280</v>
      </c>
      <c r="O1" s="10" t="s">
        <v>281</v>
      </c>
      <c r="P1" s="10" t="s">
        <v>282</v>
      </c>
      <c r="Q1" s="10" t="s">
        <v>283</v>
      </c>
      <c r="R1" s="10" t="s">
        <v>284</v>
      </c>
    </row>
    <row r="2" spans="1:19" x14ac:dyDescent="0.25">
      <c r="I2" s="1"/>
      <c r="N2" s="10"/>
      <c r="O2" s="10"/>
      <c r="P2" s="10"/>
      <c r="Q2" s="10"/>
      <c r="R2" s="10"/>
      <c r="S2" s="10"/>
    </row>
    <row r="3" spans="1:19" x14ac:dyDescent="0.25">
      <c r="A3" t="s">
        <v>4</v>
      </c>
      <c r="B3" s="1">
        <v>43487</v>
      </c>
      <c r="D3" s="2" t="s">
        <v>2</v>
      </c>
      <c r="E3" t="s">
        <v>18</v>
      </c>
      <c r="F3" t="str">
        <f>CONCATENATE(D3&amp;" ",E3)</f>
        <v>2019. január</v>
      </c>
      <c r="G3" t="s">
        <v>3</v>
      </c>
      <c r="H3" t="str">
        <f>CONCATENATE(F3," "&amp;G3)</f>
        <v>2019. január havi adatszolgáltatás</v>
      </c>
      <c r="I3" s="1">
        <v>43518</v>
      </c>
      <c r="J3" s="3" t="s">
        <v>18</v>
      </c>
      <c r="K3" s="11" t="s">
        <v>131</v>
      </c>
      <c r="L3" s="10" t="s">
        <v>272</v>
      </c>
      <c r="M3" s="10" t="s">
        <v>157</v>
      </c>
      <c r="N3" s="10" t="s">
        <v>275</v>
      </c>
      <c r="O3" s="10" t="s">
        <v>274</v>
      </c>
      <c r="P3" s="10" t="s">
        <v>273</v>
      </c>
      <c r="Q3" s="10" t="s">
        <v>150</v>
      </c>
      <c r="R3" s="10" t="s">
        <v>286</v>
      </c>
    </row>
    <row r="4" spans="1:19" x14ac:dyDescent="0.25">
      <c r="A4" t="s">
        <v>5</v>
      </c>
      <c r="B4" s="1">
        <v>43518</v>
      </c>
      <c r="D4" s="2" t="s">
        <v>2</v>
      </c>
      <c r="E4" t="s">
        <v>19</v>
      </c>
      <c r="F4" t="str">
        <f t="shared" ref="F4:F14" si="0">CONCATENATE(D4&amp;" ",E4)</f>
        <v>2019. február</v>
      </c>
      <c r="G4" t="s">
        <v>3</v>
      </c>
      <c r="H4" t="str">
        <f t="shared" ref="H4:H14" si="1">CONCATENATE(F4," "&amp;G4)</f>
        <v>2019. február havi adatszolgáltatás</v>
      </c>
      <c r="I4" s="1">
        <v>43546</v>
      </c>
      <c r="J4" s="3" t="s">
        <v>19</v>
      </c>
      <c r="K4" s="11" t="s">
        <v>132</v>
      </c>
      <c r="L4" s="10" t="s">
        <v>273</v>
      </c>
      <c r="M4" s="10" t="s">
        <v>150</v>
      </c>
      <c r="N4" s="10" t="s">
        <v>276</v>
      </c>
      <c r="O4" s="10" t="s">
        <v>275</v>
      </c>
      <c r="P4" s="10" t="s">
        <v>274</v>
      </c>
      <c r="Q4" s="10" t="s">
        <v>158</v>
      </c>
      <c r="R4" s="10" t="s">
        <v>287</v>
      </c>
    </row>
    <row r="5" spans="1:19" x14ac:dyDescent="0.25">
      <c r="A5" t="s">
        <v>6</v>
      </c>
      <c r="B5" s="1">
        <v>43546</v>
      </c>
      <c r="D5" s="2" t="s">
        <v>2</v>
      </c>
      <c r="E5" t="s">
        <v>20</v>
      </c>
      <c r="F5" t="str">
        <f t="shared" si="0"/>
        <v>2019. március</v>
      </c>
      <c r="G5" t="s">
        <v>3</v>
      </c>
      <c r="H5" t="str">
        <f t="shared" si="1"/>
        <v>2019. március havi adatszolgáltatás</v>
      </c>
      <c r="I5" s="1">
        <v>43577</v>
      </c>
      <c r="J5" s="3" t="s">
        <v>20</v>
      </c>
      <c r="K5" s="11" t="s">
        <v>133</v>
      </c>
      <c r="L5" s="10" t="s">
        <v>274</v>
      </c>
      <c r="M5" s="10" t="s">
        <v>158</v>
      </c>
      <c r="N5" s="10" t="s">
        <v>145</v>
      </c>
      <c r="O5" s="10" t="s">
        <v>276</v>
      </c>
      <c r="P5" s="10" t="s">
        <v>275</v>
      </c>
      <c r="Q5" s="10" t="s">
        <v>151</v>
      </c>
      <c r="R5" s="10" t="s">
        <v>288</v>
      </c>
    </row>
    <row r="6" spans="1:19" x14ac:dyDescent="0.25">
      <c r="A6" t="s">
        <v>7</v>
      </c>
      <c r="B6" s="1">
        <v>43577</v>
      </c>
      <c r="D6" s="2" t="s">
        <v>2</v>
      </c>
      <c r="E6" t="s">
        <v>21</v>
      </c>
      <c r="F6" t="str">
        <f t="shared" si="0"/>
        <v>2019. április</v>
      </c>
      <c r="G6" t="s">
        <v>3</v>
      </c>
      <c r="H6" t="str">
        <f t="shared" si="1"/>
        <v>2019. április havi adatszolgáltatás</v>
      </c>
      <c r="I6" s="1">
        <v>43607</v>
      </c>
      <c r="J6" s="3" t="s">
        <v>21</v>
      </c>
      <c r="K6" s="11" t="s">
        <v>134</v>
      </c>
      <c r="L6" s="10" t="s">
        <v>275</v>
      </c>
      <c r="M6" s="10" t="s">
        <v>151</v>
      </c>
      <c r="N6" s="10" t="s">
        <v>146</v>
      </c>
      <c r="O6" s="10" t="s">
        <v>145</v>
      </c>
      <c r="P6" s="10" t="s">
        <v>276</v>
      </c>
      <c r="Q6" s="10" t="s">
        <v>159</v>
      </c>
      <c r="R6" s="10" t="s">
        <v>289</v>
      </c>
    </row>
    <row r="7" spans="1:19" x14ac:dyDescent="0.25">
      <c r="A7" t="s">
        <v>8</v>
      </c>
      <c r="B7" s="1">
        <v>43607</v>
      </c>
      <c r="D7" s="2" t="s">
        <v>2</v>
      </c>
      <c r="E7" t="s">
        <v>22</v>
      </c>
      <c r="F7" t="str">
        <f t="shared" si="0"/>
        <v>2019. május</v>
      </c>
      <c r="G7" t="s">
        <v>3</v>
      </c>
      <c r="H7" t="str">
        <f t="shared" si="1"/>
        <v>2019. május havi adatszolgáltatás</v>
      </c>
      <c r="I7" s="1">
        <v>43638</v>
      </c>
      <c r="J7" s="3" t="s">
        <v>22</v>
      </c>
      <c r="K7" s="11" t="s">
        <v>135</v>
      </c>
      <c r="L7" s="10" t="s">
        <v>276</v>
      </c>
      <c r="M7" s="10" t="s">
        <v>159</v>
      </c>
      <c r="N7" s="10" t="s">
        <v>278</v>
      </c>
      <c r="O7" s="10" t="s">
        <v>146</v>
      </c>
      <c r="P7" s="10" t="s">
        <v>145</v>
      </c>
      <c r="Q7" s="10" t="s">
        <v>152</v>
      </c>
      <c r="R7" s="10" t="s">
        <v>290</v>
      </c>
    </row>
    <row r="8" spans="1:19" x14ac:dyDescent="0.25">
      <c r="A8" t="s">
        <v>9</v>
      </c>
      <c r="B8" s="1">
        <v>43638</v>
      </c>
      <c r="D8" s="2" t="s">
        <v>2</v>
      </c>
      <c r="E8" t="s">
        <v>23</v>
      </c>
      <c r="F8" t="str">
        <f t="shared" si="0"/>
        <v>2019. június</v>
      </c>
      <c r="G8" t="s">
        <v>3</v>
      </c>
      <c r="H8" t="str">
        <f t="shared" si="1"/>
        <v>2019. június havi adatszolgáltatás</v>
      </c>
      <c r="I8" s="1">
        <v>43668</v>
      </c>
      <c r="J8" s="3" t="s">
        <v>23</v>
      </c>
      <c r="K8" s="11" t="s">
        <v>136</v>
      </c>
      <c r="L8" s="10" t="s">
        <v>145</v>
      </c>
      <c r="M8" s="10" t="s">
        <v>152</v>
      </c>
      <c r="N8" s="10" t="s">
        <v>147</v>
      </c>
      <c r="O8" s="10" t="s">
        <v>278</v>
      </c>
      <c r="P8" s="10" t="s">
        <v>146</v>
      </c>
      <c r="Q8" s="10" t="s">
        <v>153</v>
      </c>
      <c r="R8" s="10" t="s">
        <v>291</v>
      </c>
    </row>
    <row r="9" spans="1:19" x14ac:dyDescent="0.25">
      <c r="A9" t="s">
        <v>10</v>
      </c>
      <c r="B9" s="1">
        <v>43668</v>
      </c>
      <c r="D9" s="2" t="s">
        <v>2</v>
      </c>
      <c r="E9" t="s">
        <v>24</v>
      </c>
      <c r="F9" t="str">
        <f t="shared" si="0"/>
        <v>2019. július</v>
      </c>
      <c r="G9" t="s">
        <v>3</v>
      </c>
      <c r="H9" t="str">
        <f t="shared" si="1"/>
        <v>2019. július havi adatszolgáltatás</v>
      </c>
      <c r="I9" s="1">
        <v>43699</v>
      </c>
      <c r="J9" s="3" t="s">
        <v>24</v>
      </c>
      <c r="K9" s="11" t="s">
        <v>137</v>
      </c>
      <c r="L9" s="10" t="s">
        <v>146</v>
      </c>
      <c r="M9" s="10" t="s">
        <v>153</v>
      </c>
      <c r="N9" s="10" t="s">
        <v>277</v>
      </c>
      <c r="O9" s="10" t="s">
        <v>147</v>
      </c>
      <c r="P9" s="10" t="s">
        <v>278</v>
      </c>
      <c r="Q9" s="10" t="s">
        <v>160</v>
      </c>
      <c r="R9" s="10" t="s">
        <v>292</v>
      </c>
    </row>
    <row r="10" spans="1:19" x14ac:dyDescent="0.25">
      <c r="A10" t="s">
        <v>11</v>
      </c>
      <c r="B10" s="1">
        <v>43699</v>
      </c>
      <c r="D10" s="2" t="s">
        <v>2</v>
      </c>
      <c r="E10" t="s">
        <v>25</v>
      </c>
      <c r="F10" t="str">
        <f t="shared" si="0"/>
        <v>2019. augusztus</v>
      </c>
      <c r="G10" t="s">
        <v>3</v>
      </c>
      <c r="H10" t="str">
        <f t="shared" si="1"/>
        <v>2019. augusztus havi adatszolgáltatás</v>
      </c>
      <c r="I10" s="1">
        <v>43730</v>
      </c>
      <c r="J10" s="3" t="s">
        <v>25</v>
      </c>
      <c r="K10" s="11" t="s">
        <v>138</v>
      </c>
      <c r="L10" s="10" t="s">
        <v>278</v>
      </c>
      <c r="M10" s="10" t="s">
        <v>160</v>
      </c>
      <c r="N10" s="10" t="s">
        <v>148</v>
      </c>
      <c r="O10" s="10" t="s">
        <v>277</v>
      </c>
      <c r="P10" s="10" t="s">
        <v>147</v>
      </c>
      <c r="Q10" s="10" t="s">
        <v>161</v>
      </c>
      <c r="R10" s="10" t="s">
        <v>293</v>
      </c>
    </row>
    <row r="11" spans="1:19" x14ac:dyDescent="0.25">
      <c r="A11" t="s">
        <v>12</v>
      </c>
      <c r="B11" s="1">
        <v>43730</v>
      </c>
      <c r="D11" s="2" t="s">
        <v>2</v>
      </c>
      <c r="E11" t="s">
        <v>26</v>
      </c>
      <c r="F11" t="str">
        <f t="shared" si="0"/>
        <v>2019. szeptember</v>
      </c>
      <c r="G11" t="s">
        <v>3</v>
      </c>
      <c r="H11" t="str">
        <f t="shared" si="1"/>
        <v>2019. szeptember havi adatszolgáltatás</v>
      </c>
      <c r="I11" s="1">
        <v>43760</v>
      </c>
      <c r="J11" s="3" t="s">
        <v>26</v>
      </c>
      <c r="K11" s="11" t="s">
        <v>139</v>
      </c>
      <c r="L11" s="10" t="s">
        <v>147</v>
      </c>
      <c r="M11" s="10" t="s">
        <v>161</v>
      </c>
      <c r="N11" s="10" t="s">
        <v>156</v>
      </c>
      <c r="O11" s="10" t="s">
        <v>148</v>
      </c>
      <c r="P11" s="10" t="s">
        <v>277</v>
      </c>
      <c r="Q11" s="10" t="s">
        <v>154</v>
      </c>
      <c r="R11" s="10" t="s">
        <v>294</v>
      </c>
    </row>
    <row r="12" spans="1:19" x14ac:dyDescent="0.25">
      <c r="A12" t="s">
        <v>13</v>
      </c>
      <c r="B12" s="1">
        <v>43760</v>
      </c>
      <c r="D12" s="2" t="s">
        <v>2</v>
      </c>
      <c r="E12" t="s">
        <v>27</v>
      </c>
      <c r="F12" t="str">
        <f t="shared" si="0"/>
        <v>2019. október</v>
      </c>
      <c r="G12" t="s">
        <v>3</v>
      </c>
      <c r="H12" t="str">
        <f t="shared" si="1"/>
        <v>2019. október havi adatszolgáltatás</v>
      </c>
      <c r="I12" s="1">
        <v>43791</v>
      </c>
      <c r="J12" s="3" t="s">
        <v>27</v>
      </c>
      <c r="K12" s="11" t="s">
        <v>140</v>
      </c>
      <c r="L12" s="10" t="s">
        <v>277</v>
      </c>
      <c r="M12" s="10" t="s">
        <v>154</v>
      </c>
      <c r="N12" s="10" t="s">
        <v>149</v>
      </c>
      <c r="O12" s="10" t="s">
        <v>156</v>
      </c>
      <c r="P12" s="10" t="s">
        <v>148</v>
      </c>
      <c r="Q12" s="10" t="s">
        <v>162</v>
      </c>
      <c r="R12" s="10" t="s">
        <v>295</v>
      </c>
    </row>
    <row r="13" spans="1:19" x14ac:dyDescent="0.25">
      <c r="A13" t="s">
        <v>14</v>
      </c>
      <c r="B13" s="1">
        <v>43791</v>
      </c>
      <c r="D13" s="2" t="s">
        <v>2</v>
      </c>
      <c r="E13" t="s">
        <v>28</v>
      </c>
      <c r="F13" t="str">
        <f t="shared" si="0"/>
        <v>2019. november</v>
      </c>
      <c r="G13" t="s">
        <v>3</v>
      </c>
      <c r="H13" t="str">
        <f t="shared" si="1"/>
        <v>2019. november havi adatszolgáltatás</v>
      </c>
      <c r="I13" s="1">
        <v>43821</v>
      </c>
      <c r="J13" s="3" t="s">
        <v>28</v>
      </c>
      <c r="K13" s="11" t="s">
        <v>141</v>
      </c>
      <c r="L13" s="10" t="s">
        <v>148</v>
      </c>
      <c r="M13" s="10" t="s">
        <v>162</v>
      </c>
      <c r="N13" s="10" t="s">
        <v>157</v>
      </c>
      <c r="O13" s="10" t="s">
        <v>149</v>
      </c>
      <c r="P13" s="10" t="s">
        <v>156</v>
      </c>
      <c r="Q13" s="10" t="s">
        <v>155</v>
      </c>
      <c r="R13" s="10" t="s">
        <v>296</v>
      </c>
    </row>
    <row r="14" spans="1:19" x14ac:dyDescent="0.25">
      <c r="A14" t="s">
        <v>15</v>
      </c>
      <c r="B14" s="1">
        <v>43821</v>
      </c>
      <c r="D14" s="2" t="s">
        <v>2</v>
      </c>
      <c r="E14" t="s">
        <v>29</v>
      </c>
      <c r="F14" t="str">
        <f t="shared" si="0"/>
        <v>2019. december</v>
      </c>
      <c r="G14" t="s">
        <v>3</v>
      </c>
      <c r="H14" t="str">
        <f t="shared" si="1"/>
        <v>2019. december havi adatszolgáltatás</v>
      </c>
      <c r="I14" s="1">
        <v>43852</v>
      </c>
      <c r="J14" s="3" t="s">
        <v>29</v>
      </c>
      <c r="K14" s="11" t="s">
        <v>142</v>
      </c>
      <c r="L14" s="10" t="s">
        <v>156</v>
      </c>
      <c r="M14" s="10" t="s">
        <v>155</v>
      </c>
      <c r="N14" s="10" t="s">
        <v>150</v>
      </c>
      <c r="O14" s="10" t="s">
        <v>157</v>
      </c>
      <c r="P14" s="10" t="s">
        <v>149</v>
      </c>
      <c r="Q14" s="10" t="s">
        <v>285</v>
      </c>
      <c r="R14" s="10" t="s">
        <v>297</v>
      </c>
    </row>
    <row r="18" spans="8:9" x14ac:dyDescent="0.25">
      <c r="I18" s="4"/>
    </row>
    <row r="27" spans="8:9" x14ac:dyDescent="0.25">
      <c r="H27" t="e">
        <f>VLOOKUP(#REF!,'H segédtábla'!$H$3:$P$14,5,FALSE)</f>
        <v>#REF!</v>
      </c>
    </row>
  </sheetData>
  <dataValidations count="1">
    <dataValidation allowBlank="1" showInputMessage="1" showErrorMessage="1" promptTitle="Hónap" sqref="A3:B14 I2:I14" xr:uid="{00000000-0002-0000-0100-000000000000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5:E23"/>
  <sheetViews>
    <sheetView showGridLines="0" topLeftCell="A11" workbookViewId="0">
      <selection activeCell="C9" sqref="C9"/>
    </sheetView>
  </sheetViews>
  <sheetFormatPr defaultRowHeight="13.8" x14ac:dyDescent="0.25"/>
  <cols>
    <col min="3" max="3" width="82.09765625" customWidth="1"/>
    <col min="4" max="4" width="5.09765625" customWidth="1"/>
    <col min="5" max="5" width="92.5" customWidth="1"/>
  </cols>
  <sheetData>
    <row r="5" spans="2:5" ht="20.399999999999999" x14ac:dyDescent="0.35">
      <c r="C5" s="119" t="s">
        <v>310</v>
      </c>
    </row>
    <row r="8" spans="2:5" ht="27.6" customHeight="1" x14ac:dyDescent="0.25">
      <c r="B8" s="123"/>
      <c r="C8" s="122" t="s">
        <v>163</v>
      </c>
      <c r="E8" s="120"/>
    </row>
    <row r="9" spans="2:5" ht="33.450000000000003" customHeight="1" x14ac:dyDescent="0.25">
      <c r="B9" s="123"/>
      <c r="C9" s="282" t="s">
        <v>373</v>
      </c>
      <c r="E9" s="120"/>
    </row>
    <row r="10" spans="2:5" ht="27.6" customHeight="1" x14ac:dyDescent="0.25">
      <c r="B10" s="123"/>
      <c r="C10" s="122" t="s">
        <v>308</v>
      </c>
      <c r="E10" s="121"/>
    </row>
    <row r="11" spans="2:5" ht="70.05" customHeight="1" x14ac:dyDescent="0.25">
      <c r="B11" s="123"/>
      <c r="C11" s="282" t="s">
        <v>349</v>
      </c>
      <c r="E11" s="121"/>
    </row>
    <row r="12" spans="2:5" ht="27.6" customHeight="1" x14ac:dyDescent="0.25">
      <c r="B12" s="123"/>
      <c r="C12" s="122" t="s">
        <v>301</v>
      </c>
      <c r="E12" s="120"/>
    </row>
    <row r="13" spans="2:5" ht="45.45" customHeight="1" x14ac:dyDescent="0.25">
      <c r="B13" s="123"/>
      <c r="C13" s="282" t="s">
        <v>372</v>
      </c>
      <c r="E13" s="120"/>
    </row>
    <row r="14" spans="2:5" ht="27.6" customHeight="1" x14ac:dyDescent="0.25">
      <c r="B14" s="123"/>
      <c r="C14" s="122" t="s">
        <v>311</v>
      </c>
      <c r="E14" s="120"/>
    </row>
    <row r="15" spans="2:5" ht="45.45" customHeight="1" x14ac:dyDescent="0.25">
      <c r="B15" s="123"/>
      <c r="C15" s="282" t="s">
        <v>369</v>
      </c>
      <c r="E15" s="120"/>
    </row>
    <row r="16" spans="2:5" ht="22.05" customHeight="1" x14ac:dyDescent="0.25">
      <c r="B16" s="123"/>
      <c r="C16" s="122" t="s">
        <v>302</v>
      </c>
      <c r="E16" s="121"/>
    </row>
    <row r="17" spans="2:5" ht="121.5" customHeight="1" x14ac:dyDescent="0.25">
      <c r="C17" s="282" t="s">
        <v>371</v>
      </c>
      <c r="E17" s="120"/>
    </row>
    <row r="18" spans="2:5" ht="22.05" customHeight="1" x14ac:dyDescent="0.25">
      <c r="B18" s="123"/>
      <c r="C18" s="122" t="s">
        <v>350</v>
      </c>
      <c r="E18" s="121"/>
    </row>
    <row r="19" spans="2:5" ht="37.049999999999997" customHeight="1" x14ac:dyDescent="0.25">
      <c r="C19" s="282" t="s">
        <v>370</v>
      </c>
      <c r="E19" s="120"/>
    </row>
    <row r="20" spans="2:5" x14ac:dyDescent="0.25">
      <c r="C20" s="118"/>
      <c r="E20" s="120"/>
    </row>
    <row r="21" spans="2:5" x14ac:dyDescent="0.25">
      <c r="C21" s="118"/>
      <c r="E21" s="120"/>
    </row>
    <row r="22" spans="2:5" x14ac:dyDescent="0.25">
      <c r="C22" s="118"/>
    </row>
    <row r="23" spans="2:5" x14ac:dyDescent="0.25">
      <c r="C23" s="118"/>
    </row>
  </sheetData>
  <hyperlinks>
    <hyperlink ref="C8" location="'Vezetői összefoglaló'!A1" display="Vezetői összefoglaló" xr:uid="{00000000-0004-0000-0200-000000000000}"/>
    <hyperlink ref="C14" location="'Mérleg terv'!A1" display="Mérleg terv" xr:uid="{00000000-0004-0000-0200-000004000000}"/>
    <hyperlink ref="C16" location="Mutatók!A1" display="Mutatók" xr:uid="{00000000-0004-0000-0200-000005000000}"/>
    <hyperlink ref="C10" location="Támogatások!A1" display="Támogatások" xr:uid="{EB29968A-08F7-4D76-B4DE-5C4A0350025C}"/>
    <hyperlink ref="C12" location="'EK terv'!A1" display="EK terv" xr:uid="{799A4A0C-6B80-47E6-86FD-67F0529B4B32}"/>
    <hyperlink ref="C18" location="'Cash flow terv'!A1" display="Mutatók" xr:uid="{E8424353-D268-4E48-AFE9-D4A2A318C22E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3">
    <tabColor theme="6" tint="0.79998168889431442"/>
  </sheetPr>
  <dimension ref="A1:V59"/>
  <sheetViews>
    <sheetView showGridLines="0" topLeftCell="A14" zoomScaleNormal="100" workbookViewId="0">
      <selection activeCell="K47" sqref="K47"/>
    </sheetView>
  </sheetViews>
  <sheetFormatPr defaultColWidth="8.59765625" defaultRowHeight="14.4" x14ac:dyDescent="0.3"/>
  <cols>
    <col min="1" max="1" width="4.59765625" style="5" customWidth="1"/>
    <col min="2" max="2" width="34.5" style="5" bestFit="1" customWidth="1"/>
    <col min="3" max="10" width="12.09765625" style="5" customWidth="1"/>
    <col min="11" max="11" width="8.296875" style="5" customWidth="1"/>
    <col min="12" max="12" width="8.59765625" style="5" customWidth="1"/>
    <col min="13" max="13" width="1.59765625" style="5" customWidth="1"/>
    <col min="14" max="20" width="8.59765625" style="5" customWidth="1"/>
    <col min="21" max="21" width="1.296875" style="5" customWidth="1"/>
    <col min="22" max="22" width="42" style="5" customWidth="1"/>
    <col min="23" max="16384" width="8.59765625" style="5"/>
  </cols>
  <sheetData>
    <row r="1" spans="1:22" ht="37.049999999999997" customHeight="1" x14ac:dyDescent="0.3">
      <c r="A1" s="166" t="s">
        <v>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</row>
    <row r="2" spans="1:22" ht="26.55" customHeight="1" thickBot="1" x14ac:dyDescent="0.35">
      <c r="A2" s="167" t="s">
        <v>163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7"/>
    </row>
    <row r="3" spans="1:22" ht="24.6" customHeight="1" x14ac:dyDescent="0.3">
      <c r="V3" s="54"/>
    </row>
    <row r="4" spans="1:22" x14ac:dyDescent="0.3">
      <c r="B4" s="168" t="s">
        <v>314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</row>
    <row r="6" spans="1:22" ht="18.600000000000001" thickBot="1" x14ac:dyDescent="0.35">
      <c r="C6" s="55"/>
      <c r="D6" s="55"/>
      <c r="E6" s="55"/>
      <c r="F6" s="60" t="s">
        <v>266</v>
      </c>
      <c r="G6" s="55"/>
      <c r="H6" s="55"/>
      <c r="I6" s="55"/>
      <c r="K6" s="55"/>
      <c r="L6" s="55"/>
    </row>
    <row r="7" spans="1:22" s="33" customFormat="1" ht="28.5" customHeight="1" thickBot="1" x14ac:dyDescent="0.3">
      <c r="B7" s="17" t="s">
        <v>32</v>
      </c>
      <c r="C7" s="61" t="s">
        <v>351</v>
      </c>
      <c r="D7" s="61" t="s">
        <v>352</v>
      </c>
      <c r="E7" s="287" t="s">
        <v>304</v>
      </c>
      <c r="F7" s="288"/>
      <c r="G7" s="34"/>
    </row>
    <row r="8" spans="1:22" s="33" customFormat="1" ht="20.55" customHeight="1" x14ac:dyDescent="0.25">
      <c r="B8" s="56" t="s">
        <v>58</v>
      </c>
      <c r="C8" s="62">
        <f>ROUND(VLOOKUP($B8,'EK terv'!$B$4:$P$50,15,FALSE)/1000,0)</f>
        <v>1019924</v>
      </c>
      <c r="D8" s="138">
        <f>ROUND(VLOOKUP($B8,'EK terv'!$B$4:$P$50,2,FALSE)/1000,0)</f>
        <v>481157</v>
      </c>
      <c r="E8" s="144">
        <f>$C8-$D8</f>
        <v>538767</v>
      </c>
      <c r="F8" s="145">
        <f>IFERROR($E8/$D8,0)</f>
        <v>1.1197322287735605</v>
      </c>
      <c r="G8" s="8"/>
    </row>
    <row r="9" spans="1:22" s="33" customFormat="1" ht="20.55" customHeight="1" x14ac:dyDescent="0.25">
      <c r="B9" s="56" t="s">
        <v>64</v>
      </c>
      <c r="C9" s="63">
        <f>VLOOKUP($B9,'EK terv'!$B$4:$P$50,15,FALSE)</f>
        <v>0</v>
      </c>
      <c r="D9" s="139">
        <f>VLOOKUP($B9,'EK terv'!$B$4:$P$50,2,FALSE)</f>
        <v>0</v>
      </c>
      <c r="E9" s="146">
        <f t="shared" ref="E9:E24" si="0">$C9-$D9</f>
        <v>0</v>
      </c>
      <c r="F9" s="149">
        <f t="shared" ref="F9:F24" si="1">IFERROR($E9/$D9,0)</f>
        <v>0</v>
      </c>
      <c r="G9" s="8"/>
    </row>
    <row r="10" spans="1:22" s="33" customFormat="1" ht="20.55" customHeight="1" x14ac:dyDescent="0.25">
      <c r="B10" s="56" t="s">
        <v>66</v>
      </c>
      <c r="C10" s="63">
        <f>ROUND(VLOOKUP($B10,'EK terv'!$B$4:$P$50,15,FALSE)/1000,0)</f>
        <v>879676</v>
      </c>
      <c r="D10" s="139">
        <f>ROUND(VLOOKUP($B10,'EK terv'!$B$4:$P$50,2,FALSE)/1000,0)</f>
        <v>883734</v>
      </c>
      <c r="E10" s="146">
        <f t="shared" si="0"/>
        <v>-4058</v>
      </c>
      <c r="F10" s="149">
        <f t="shared" si="1"/>
        <v>-4.5918794569406634E-3</v>
      </c>
      <c r="G10" s="8"/>
    </row>
    <row r="11" spans="1:22" s="33" customFormat="1" ht="20.55" customHeight="1" x14ac:dyDescent="0.25">
      <c r="B11" s="57" t="s">
        <v>78</v>
      </c>
      <c r="C11" s="64">
        <f>ROUND(VLOOKUP($B11,'EK terv'!$B$4:$P$50,15,FALSE)/1000,0)</f>
        <v>956456</v>
      </c>
      <c r="D11" s="140">
        <f>ROUND(VLOOKUP($B11,'EK terv'!$B$4:$P$50,2,FALSE)/1000,0)</f>
        <v>531333</v>
      </c>
      <c r="E11" s="68">
        <f t="shared" si="0"/>
        <v>425123</v>
      </c>
      <c r="F11" s="150">
        <f t="shared" si="1"/>
        <v>0.80010652453357878</v>
      </c>
      <c r="G11" s="8"/>
    </row>
    <row r="12" spans="1:22" s="33" customFormat="1" ht="20.55" customHeight="1" x14ac:dyDescent="0.25">
      <c r="B12" s="78" t="s">
        <v>68</v>
      </c>
      <c r="C12" s="64">
        <f>ROUND(VLOOKUP($B12,'EK terv'!$B$4:$P$50,15,FALSE)/1000,0)</f>
        <v>84381</v>
      </c>
      <c r="D12" s="140">
        <f>ROUND(VLOOKUP($B12,'EK terv'!$B$4:$P$50,2,FALSE)/1000,0)</f>
        <v>50302</v>
      </c>
      <c r="E12" s="68">
        <f t="shared" si="0"/>
        <v>34079</v>
      </c>
      <c r="F12" s="150">
        <f t="shared" si="1"/>
        <v>0.67748797264522287</v>
      </c>
      <c r="G12" s="8"/>
    </row>
    <row r="13" spans="1:22" s="33" customFormat="1" ht="20.55" customHeight="1" x14ac:dyDescent="0.25">
      <c r="B13" s="78" t="s">
        <v>70</v>
      </c>
      <c r="C13" s="64">
        <f>ROUND(VLOOKUP($B13,'EK terv'!$B$4:$P$50,15,FALSE)/1000,0)</f>
        <v>453319</v>
      </c>
      <c r="D13" s="140">
        <f>ROUND(VLOOKUP($B13,'EK terv'!$B$4:$P$50,2,FALSE)/1000,0)</f>
        <v>250333</v>
      </c>
      <c r="E13" s="68">
        <f t="shared" si="0"/>
        <v>202986</v>
      </c>
      <c r="F13" s="150">
        <f t="shared" si="1"/>
        <v>0.81086392924624395</v>
      </c>
      <c r="G13" s="8"/>
    </row>
    <row r="14" spans="1:22" s="33" customFormat="1" ht="20.55" customHeight="1" x14ac:dyDescent="0.25">
      <c r="B14" s="78" t="s">
        <v>72</v>
      </c>
      <c r="C14" s="64">
        <f>ROUND(VLOOKUP($B14,'EK terv'!$B$4:$P$50,15,FALSE)/1000,0)</f>
        <v>42931</v>
      </c>
      <c r="D14" s="140">
        <f>ROUND(VLOOKUP($B14,'EK terv'!$B$4:$P$50,2,FALSE)/1000,0)</f>
        <v>39502</v>
      </c>
      <c r="E14" s="68">
        <f t="shared" si="0"/>
        <v>3429</v>
      </c>
      <c r="F14" s="150">
        <f t="shared" si="1"/>
        <v>8.6805731355374408E-2</v>
      </c>
      <c r="G14" s="8"/>
    </row>
    <row r="15" spans="1:22" s="33" customFormat="1" ht="20.55" customHeight="1" x14ac:dyDescent="0.25">
      <c r="B15" s="78" t="s">
        <v>74</v>
      </c>
      <c r="C15" s="64">
        <f>ROUND(VLOOKUP($B15,'EK terv'!$B$4:$P$50,15,FALSE)/1000,0)</f>
        <v>374735</v>
      </c>
      <c r="D15" s="140">
        <f>ROUND(VLOOKUP($B15,'EK terv'!$B$4:$P$50,2,FALSE)/1000,0)</f>
        <v>186807</v>
      </c>
      <c r="E15" s="68">
        <f t="shared" si="0"/>
        <v>187928</v>
      </c>
      <c r="F15" s="150">
        <f t="shared" si="1"/>
        <v>1.0060008457927165</v>
      </c>
      <c r="G15" s="8"/>
    </row>
    <row r="16" spans="1:22" s="33" customFormat="1" ht="20.55" customHeight="1" x14ac:dyDescent="0.25">
      <c r="B16" s="78" t="s">
        <v>76</v>
      </c>
      <c r="C16" s="64">
        <f>ROUND(VLOOKUP($B16,'EK terv'!$B$4:$P$50,15,FALSE)/1000,0)</f>
        <v>1090</v>
      </c>
      <c r="D16" s="140">
        <f>ROUND(VLOOKUP($B16,'EK terv'!$B$4:$P$50,2,FALSE)/1000,0)</f>
        <v>4389</v>
      </c>
      <c r="E16" s="68">
        <f t="shared" si="0"/>
        <v>-3299</v>
      </c>
      <c r="F16" s="150">
        <f t="shared" si="1"/>
        <v>-0.75165185691501479</v>
      </c>
      <c r="G16" s="8"/>
    </row>
    <row r="17" spans="2:20" s="33" customFormat="1" ht="20.55" customHeight="1" x14ac:dyDescent="0.25">
      <c r="B17" s="57" t="s">
        <v>86</v>
      </c>
      <c r="C17" s="64">
        <f>ROUND(VLOOKUP($B17,'EK terv'!$B$4:$P$50,15,FALSE)/1000,0)</f>
        <v>433719</v>
      </c>
      <c r="D17" s="140">
        <f>ROUND(VLOOKUP($B17,'EK terv'!$B$4:$P$50,2,FALSE)/1000,0)</f>
        <v>371465</v>
      </c>
      <c r="E17" s="68">
        <f t="shared" si="0"/>
        <v>62254</v>
      </c>
      <c r="F17" s="150">
        <f t="shared" si="1"/>
        <v>0.16759048631768808</v>
      </c>
      <c r="G17" s="8"/>
    </row>
    <row r="18" spans="2:20" s="33" customFormat="1" ht="20.55" customHeight="1" x14ac:dyDescent="0.25">
      <c r="B18" s="57" t="s">
        <v>88</v>
      </c>
      <c r="C18" s="64">
        <f>ROUND(VLOOKUP($B18,'EK terv'!$B$4:$P$50,15,FALSE)/1000,0)</f>
        <v>150704</v>
      </c>
      <c r="D18" s="140">
        <f>ROUND(VLOOKUP($B18,'EK terv'!$B$4:$P$50,2,FALSE)/1000,0)</f>
        <v>144177</v>
      </c>
      <c r="E18" s="68">
        <f t="shared" si="0"/>
        <v>6527</v>
      </c>
      <c r="F18" s="150">
        <f t="shared" si="1"/>
        <v>4.5270743599880703E-2</v>
      </c>
      <c r="G18" s="8"/>
    </row>
    <row r="19" spans="2:20" s="33" customFormat="1" ht="20.55" customHeight="1" x14ac:dyDescent="0.25">
      <c r="B19" s="57" t="s">
        <v>90</v>
      </c>
      <c r="C19" s="64">
        <f>ROUND(VLOOKUP($B19,'EK terv'!$B$4:$P$50,15,FALSE)/1000,0)</f>
        <v>319907</v>
      </c>
      <c r="D19" s="140">
        <f>ROUND(VLOOKUP($B19,'EK terv'!$B$4:$P$50,2,FALSE)/1000,0)</f>
        <v>321098</v>
      </c>
      <c r="E19" s="68">
        <f t="shared" si="0"/>
        <v>-1191</v>
      </c>
      <c r="F19" s="150">
        <f t="shared" si="1"/>
        <v>-3.7091479859731298E-3</v>
      </c>
      <c r="G19" s="8"/>
    </row>
    <row r="20" spans="2:20" s="33" customFormat="1" ht="20.55" customHeight="1" x14ac:dyDescent="0.25">
      <c r="B20" s="57" t="s">
        <v>91</v>
      </c>
      <c r="C20" s="64">
        <f>ROUND(VLOOKUP($B20,'EK terv'!$B$4:$P$50,15,FALSE)/1000,0)</f>
        <v>38815</v>
      </c>
      <c r="D20" s="140">
        <f>ROUND(VLOOKUP($B20,'EK terv'!$B$4:$P$50,2,FALSE)/1000,0)</f>
        <v>-3181</v>
      </c>
      <c r="E20" s="68">
        <f t="shared" si="0"/>
        <v>41996</v>
      </c>
      <c r="F20" s="150">
        <f t="shared" si="1"/>
        <v>-13.202137692549513</v>
      </c>
      <c r="G20" s="8"/>
    </row>
    <row r="21" spans="2:20" s="33" customFormat="1" ht="20.55" customHeight="1" x14ac:dyDescent="0.25">
      <c r="B21" s="58" t="s">
        <v>125</v>
      </c>
      <c r="C21" s="65">
        <f>ROUND(VLOOKUP($B21,'EK terv'!$B$4:$P$50,15,FALSE)/1000,0)</f>
        <v>1330</v>
      </c>
      <c r="D21" s="141">
        <f>ROUND(VLOOKUP($B21,'EK terv'!$B$4:$P$50,2,FALSE)/1000,0)</f>
        <v>15912</v>
      </c>
      <c r="E21" s="147">
        <f t="shared" si="0"/>
        <v>-14582</v>
      </c>
      <c r="F21" s="151">
        <f t="shared" si="1"/>
        <v>-0.91641528406234285</v>
      </c>
      <c r="G21" s="8"/>
    </row>
    <row r="22" spans="2:20" s="33" customFormat="1" ht="20.55" customHeight="1" x14ac:dyDescent="0.25">
      <c r="B22" s="58" t="s">
        <v>126</v>
      </c>
      <c r="C22" s="65">
        <f>ROUND(VLOOKUP($B22,'EK terv'!$B$4:$P$50,15,FALSE)/1000,0)</f>
        <v>40144</v>
      </c>
      <c r="D22" s="141">
        <f>ROUND(VLOOKUP($B22,'EK terv'!$B$4:$P$50,2,FALSE)/1000,0)</f>
        <v>12730</v>
      </c>
      <c r="E22" s="147">
        <f t="shared" si="0"/>
        <v>27414</v>
      </c>
      <c r="F22" s="151">
        <f t="shared" si="1"/>
        <v>2.1534956794972504</v>
      </c>
      <c r="G22" s="8"/>
    </row>
    <row r="23" spans="2:20" s="33" customFormat="1" ht="20.55" customHeight="1" x14ac:dyDescent="0.25">
      <c r="B23" s="283" t="s">
        <v>128</v>
      </c>
      <c r="C23" s="65">
        <f>ROUND(VLOOKUP($B23,'EK terv'!$B$4:$P$50,15,FALSE)/1000,0)</f>
        <v>40132</v>
      </c>
      <c r="D23" s="141">
        <f>ROUND(VLOOKUP($B23,'EK terv'!$B$4:$P$50,2,FALSE)/1000,0)</f>
        <v>12437</v>
      </c>
      <c r="E23" s="147">
        <f t="shared" si="0"/>
        <v>27695</v>
      </c>
      <c r="F23" s="151">
        <f t="shared" si="1"/>
        <v>2.2268231888719145</v>
      </c>
      <c r="G23" s="8"/>
    </row>
    <row r="24" spans="2:20" s="33" customFormat="1" ht="20.55" customHeight="1" thickBot="1" x14ac:dyDescent="0.3">
      <c r="B24" s="153" t="s">
        <v>129</v>
      </c>
      <c r="C24" s="66">
        <f>ROUND(VLOOKUP($B24,'EK terv'!$B$4:$P$50,15,FALSE)/1000,0)</f>
        <v>12</v>
      </c>
      <c r="D24" s="142">
        <f>VLOOKUP($B24,'EK terv'!$B$4:$P$50,2,FALSE)</f>
        <v>293043</v>
      </c>
      <c r="E24" s="148">
        <f t="shared" si="0"/>
        <v>-293031</v>
      </c>
      <c r="F24" s="152">
        <f t="shared" si="1"/>
        <v>-0.99995905037827215</v>
      </c>
      <c r="G24" s="8"/>
    </row>
    <row r="25" spans="2:20" ht="16.05" customHeight="1" thickBot="1" x14ac:dyDescent="0.35">
      <c r="C25" s="42"/>
      <c r="D25" s="42"/>
      <c r="E25" s="42"/>
      <c r="F25" s="42"/>
      <c r="G25" s="8"/>
      <c r="H25" s="33"/>
      <c r="I25" s="33"/>
      <c r="J25" s="33"/>
      <c r="K25" s="33"/>
      <c r="L25" s="33"/>
      <c r="M25" s="33"/>
      <c r="N25" s="33"/>
      <c r="O25" s="33"/>
      <c r="P25" s="33"/>
    </row>
    <row r="26" spans="2:20" s="33" customFormat="1" ht="16.05" customHeight="1" x14ac:dyDescent="0.25">
      <c r="B26" s="117" t="str">
        <f>Mutatók!B4</f>
        <v>Beruházások (eFt)</v>
      </c>
      <c r="C26" s="114">
        <f>VLOOKUP($B26,Mutatók!$B$4:$P$17,15,FALSE)</f>
        <v>2734092000</v>
      </c>
      <c r="D26" s="154">
        <f>VLOOKUP($B26,Mutatók!$B$4:$P$17,2,FALSE)</f>
        <v>160000000</v>
      </c>
      <c r="E26" s="144">
        <f>$C26-$D26</f>
        <v>2574092000</v>
      </c>
      <c r="F26" s="145">
        <f t="shared" ref="F26:F31" si="2">IFERROR($E26/$D26,0)</f>
        <v>16.088075</v>
      </c>
      <c r="G26" s="8"/>
    </row>
    <row r="27" spans="2:20" s="33" customFormat="1" ht="16.05" customHeight="1" x14ac:dyDescent="0.25">
      <c r="B27" s="57" t="str">
        <f>Mutatók!B5</f>
        <v>Likviditás (%)</v>
      </c>
      <c r="C27" s="131">
        <f>VLOOKUP($B27,Mutatók!$B$4:$P$17,15,FALSE)</f>
        <v>2.4278204081632655</v>
      </c>
      <c r="D27" s="155">
        <f>VLOOKUP($B27,Mutatók!$B$4:$P$17,2,FALSE)</f>
        <v>6.1660444444444442</v>
      </c>
      <c r="E27" s="171">
        <f t="shared" ref="E27:E29" si="3">$C27-$D27</f>
        <v>-3.7382240362811787</v>
      </c>
      <c r="F27" s="172" t="s">
        <v>316</v>
      </c>
      <c r="G27" s="8"/>
    </row>
    <row r="28" spans="2:20" s="33" customFormat="1" ht="16.05" customHeight="1" x14ac:dyDescent="0.25">
      <c r="B28" s="57" t="str">
        <f>Mutatók!B6</f>
        <v>Létszám záró (fő)</v>
      </c>
      <c r="C28" s="115">
        <f>VLOOKUP($B28,Mutatók!$B$4:$P$17,15,FALSE)</f>
        <v>56</v>
      </c>
      <c r="D28" s="93">
        <f>VLOOKUP($B28,Mutatók!$B$4:$P$17,2,FALSE)</f>
        <v>46</v>
      </c>
      <c r="E28" s="147">
        <f t="shared" si="3"/>
        <v>10</v>
      </c>
      <c r="F28" s="155">
        <f t="shared" si="2"/>
        <v>0.21739130434782608</v>
      </c>
      <c r="G28" s="8"/>
    </row>
    <row r="29" spans="2:20" s="33" customFormat="1" ht="16.05" customHeight="1" x14ac:dyDescent="0.25">
      <c r="B29" s="57" t="str">
        <f>Mutatók!B7</f>
        <v>KPI1</v>
      </c>
      <c r="C29" s="115">
        <f>VLOOKUP($B29,Mutatók!$B$4:$P$17,15,FALSE)</f>
        <v>0</v>
      </c>
      <c r="D29" s="141" t="str">
        <f>VLOOKUP($B29,Mutatók!$B$4:$P$17,2,FALSE)</f>
        <v>-</v>
      </c>
      <c r="E29" s="147" t="e">
        <f t="shared" si="3"/>
        <v>#VALUE!</v>
      </c>
      <c r="F29" s="155">
        <f t="shared" si="2"/>
        <v>0</v>
      </c>
      <c r="G29" s="8"/>
    </row>
    <row r="30" spans="2:20" s="33" customFormat="1" ht="16.05" customHeight="1" x14ac:dyDescent="0.25">
      <c r="B30" s="57" t="str">
        <f>Mutatók!B8</f>
        <v>KPI2</v>
      </c>
      <c r="C30" s="115">
        <f>VLOOKUP($B30,Mutatók!$B$4:$P$17,15,FALSE)</f>
        <v>0</v>
      </c>
      <c r="D30" s="141" t="str">
        <f>VLOOKUP($B30,Mutatók!$B$4:$P$17,2,FALSE)</f>
        <v>-</v>
      </c>
      <c r="E30" s="147" t="e">
        <f t="shared" ref="E30:E31" si="4">$C30-$D30</f>
        <v>#VALUE!</v>
      </c>
      <c r="F30" s="151">
        <f t="shared" si="2"/>
        <v>0</v>
      </c>
      <c r="G30" s="8"/>
    </row>
    <row r="31" spans="2:20" s="33" customFormat="1" ht="16.05" customHeight="1" thickBot="1" x14ac:dyDescent="0.3">
      <c r="B31" s="59" t="str">
        <f>Mutatók!B9</f>
        <v>KPI3</v>
      </c>
      <c r="C31" s="116">
        <f>VLOOKUP($B31,Mutatók!$B$4:$P$17,15,FALSE)</f>
        <v>0</v>
      </c>
      <c r="D31" s="142" t="str">
        <f>VLOOKUP($B31,Mutatók!$B$4:$P$17,2,FALSE)</f>
        <v>-</v>
      </c>
      <c r="E31" s="148" t="e">
        <f t="shared" si="4"/>
        <v>#VALUE!</v>
      </c>
      <c r="F31" s="152">
        <f t="shared" si="2"/>
        <v>0</v>
      </c>
      <c r="G31" s="8"/>
    </row>
    <row r="32" spans="2:20" x14ac:dyDescent="0.3">
      <c r="N32" s="12"/>
      <c r="O32" s="12"/>
      <c r="P32" s="12"/>
      <c r="Q32" s="12"/>
      <c r="R32" s="12"/>
      <c r="S32" s="12"/>
      <c r="T32" s="12"/>
    </row>
    <row r="33" spans="2:21" x14ac:dyDescent="0.3">
      <c r="N33" s="12"/>
      <c r="O33" s="12"/>
      <c r="P33" s="12"/>
      <c r="Q33" s="12"/>
      <c r="R33" s="12"/>
      <c r="S33" s="12"/>
      <c r="T33" s="12"/>
    </row>
    <row r="34" spans="2:21" x14ac:dyDescent="0.3">
      <c r="B34" s="168" t="s">
        <v>315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44"/>
      <c r="O34" s="44"/>
      <c r="P34" s="44"/>
      <c r="Q34" s="44"/>
      <c r="R34" s="44"/>
      <c r="S34" s="44"/>
      <c r="T34" s="44"/>
      <c r="U34" s="32"/>
    </row>
    <row r="35" spans="2:21" x14ac:dyDescent="0.3">
      <c r="N35" s="12"/>
      <c r="O35" s="12"/>
      <c r="P35" s="12"/>
      <c r="Q35" s="12"/>
      <c r="R35" s="12"/>
      <c r="S35" s="12"/>
      <c r="T35" s="12"/>
    </row>
    <row r="36" spans="2:21" ht="15" thickBot="1" x14ac:dyDescent="0.35">
      <c r="F36" s="60" t="s">
        <v>266</v>
      </c>
      <c r="K36" s="33"/>
      <c r="L36" s="33"/>
      <c r="M36" s="33"/>
      <c r="N36" s="33"/>
      <c r="O36" s="33"/>
      <c r="P36" s="33"/>
      <c r="Q36" s="33"/>
      <c r="R36" s="12"/>
      <c r="S36" s="12"/>
      <c r="T36" s="12"/>
    </row>
    <row r="37" spans="2:21" ht="36.450000000000003" customHeight="1" thickBot="1" x14ac:dyDescent="0.35">
      <c r="B37" s="74" t="s">
        <v>32</v>
      </c>
      <c r="C37" s="61" t="s">
        <v>351</v>
      </c>
      <c r="D37" s="143" t="s">
        <v>352</v>
      </c>
      <c r="E37" s="287" t="s">
        <v>304</v>
      </c>
      <c r="F37" s="288"/>
      <c r="G37" s="33"/>
      <c r="H37" s="33"/>
      <c r="I37" s="33"/>
      <c r="J37" s="33"/>
      <c r="K37" s="33"/>
      <c r="L37" s="33"/>
      <c r="M37" s="33"/>
      <c r="N37" s="35"/>
      <c r="O37" s="31"/>
    </row>
    <row r="38" spans="2:21" s="37" customFormat="1" ht="16.05" customHeight="1" x14ac:dyDescent="0.3">
      <c r="B38" s="75" t="s">
        <v>267</v>
      </c>
      <c r="C38" s="76">
        <f>C39+C43+C48</f>
        <v>6118139</v>
      </c>
      <c r="D38" s="77">
        <f t="shared" ref="D38" si="5">D39+D43+D48</f>
        <v>4523880</v>
      </c>
      <c r="E38" s="77">
        <f t="shared" ref="E38:E56" si="6">$C38-$D38</f>
        <v>1594259</v>
      </c>
      <c r="F38" s="156">
        <f t="shared" ref="F38:F56" si="7">IFERROR($E38/$D38,0)</f>
        <v>0.35240965719691947</v>
      </c>
      <c r="G38" s="33"/>
      <c r="H38" s="33"/>
      <c r="I38" s="33"/>
      <c r="J38" s="33"/>
      <c r="K38" s="33"/>
      <c r="L38" s="33"/>
      <c r="M38" s="33"/>
      <c r="N38" s="5"/>
      <c r="O38" s="36"/>
    </row>
    <row r="39" spans="2:21" s="37" customFormat="1" ht="16.05" customHeight="1" x14ac:dyDescent="0.3">
      <c r="B39" s="73" t="s">
        <v>34</v>
      </c>
      <c r="C39" s="69">
        <f>VLOOKUP($B39,'Mérleg terv'!$C$3:$E$109,3,FALSE)</f>
        <v>5815431</v>
      </c>
      <c r="D39" s="67">
        <f>VLOOKUP($B39,'Mérleg terv'!$C$3:$E$109,2,FALSE)</f>
        <v>3825700</v>
      </c>
      <c r="E39" s="67">
        <f t="shared" si="6"/>
        <v>1989731</v>
      </c>
      <c r="F39" s="157">
        <f t="shared" si="7"/>
        <v>0.52009593015657263</v>
      </c>
      <c r="G39" s="33"/>
      <c r="H39" s="33"/>
      <c r="I39" s="33"/>
      <c r="J39" s="33"/>
      <c r="K39" s="33"/>
      <c r="L39" s="33"/>
      <c r="M39" s="33"/>
      <c r="N39" s="5"/>
      <c r="O39" s="36"/>
    </row>
    <row r="40" spans="2:21" s="33" customFormat="1" ht="16.05" customHeight="1" x14ac:dyDescent="0.3">
      <c r="B40" s="92" t="s">
        <v>36</v>
      </c>
      <c r="C40" s="64">
        <f>VLOOKUP($B40,'Mérleg terv'!$C$3:$E$109,3,FALSE)</f>
        <v>21720</v>
      </c>
      <c r="D40" s="68">
        <f>VLOOKUP($B40,'Mérleg terv'!$C$3:$E$109,2,FALSE)</f>
        <v>31400</v>
      </c>
      <c r="E40" s="68">
        <f t="shared" si="6"/>
        <v>-9680</v>
      </c>
      <c r="F40" s="150">
        <f t="shared" si="7"/>
        <v>-0.30828025477707005</v>
      </c>
      <c r="N40" s="5"/>
      <c r="O40" s="6"/>
    </row>
    <row r="41" spans="2:21" s="33" customFormat="1" ht="16.05" customHeight="1" x14ac:dyDescent="0.3">
      <c r="B41" s="92" t="s">
        <v>39</v>
      </c>
      <c r="C41" s="64">
        <f>VLOOKUP($B41,'Mérleg terv'!$C$3:$E$109,3,FALSE)</f>
        <v>5793711</v>
      </c>
      <c r="D41" s="68">
        <f>VLOOKUP($B41,'Mérleg terv'!$C$3:$E$109,2,FALSE)</f>
        <v>3794300</v>
      </c>
      <c r="E41" s="68">
        <f t="shared" si="6"/>
        <v>1999411</v>
      </c>
      <c r="F41" s="150">
        <f t="shared" si="7"/>
        <v>0.52695121629813135</v>
      </c>
      <c r="N41" s="5"/>
      <c r="O41" s="6"/>
    </row>
    <row r="42" spans="2:21" s="33" customFormat="1" ht="16.05" customHeight="1" x14ac:dyDescent="0.3">
      <c r="B42" s="92" t="s">
        <v>248</v>
      </c>
      <c r="C42" s="64">
        <f>VLOOKUP($B42,'Mérleg terv'!$C$3:$E$109,3,FALSE)</f>
        <v>0</v>
      </c>
      <c r="D42" s="68">
        <f>VLOOKUP($B42,'Mérleg terv'!$C$3:$E$109,2,FALSE)</f>
        <v>0</v>
      </c>
      <c r="E42" s="68">
        <f t="shared" si="6"/>
        <v>0</v>
      </c>
      <c r="F42" s="150">
        <f t="shared" si="7"/>
        <v>0</v>
      </c>
      <c r="N42" s="5"/>
      <c r="O42" s="6"/>
    </row>
    <row r="43" spans="2:21" s="37" customFormat="1" ht="16.05" customHeight="1" x14ac:dyDescent="0.3">
      <c r="B43" s="58" t="s">
        <v>249</v>
      </c>
      <c r="C43" s="69">
        <f>VLOOKUP($B43,'Mérleg terv'!$C$3:$E$109,3,FALSE)</f>
        <v>297408</v>
      </c>
      <c r="D43" s="70">
        <f>VLOOKUP($B43,'Mérleg terv'!$C$3:$E$109,2,FALSE)</f>
        <v>693680</v>
      </c>
      <c r="E43" s="70">
        <f t="shared" si="6"/>
        <v>-396272</v>
      </c>
      <c r="F43" s="158">
        <f t="shared" si="7"/>
        <v>-0.57126052358436163</v>
      </c>
      <c r="G43" s="33"/>
      <c r="H43" s="33"/>
      <c r="I43" s="33"/>
      <c r="J43" s="33"/>
      <c r="K43" s="33"/>
      <c r="L43" s="33"/>
      <c r="M43" s="33"/>
      <c r="N43" s="5"/>
      <c r="O43" s="38"/>
    </row>
    <row r="44" spans="2:21" s="33" customFormat="1" ht="16.05" customHeight="1" x14ac:dyDescent="0.3">
      <c r="B44" s="92" t="s">
        <v>250</v>
      </c>
      <c r="C44" s="64">
        <f>VLOOKUP($B44,'Mérleg terv'!$C$3:$E$109,3,FALSE)</f>
        <v>15400</v>
      </c>
      <c r="D44" s="68">
        <f>VLOOKUP($B44,'Mérleg terv'!$C$3:$E$109,2,FALSE)</f>
        <v>14000</v>
      </c>
      <c r="E44" s="68">
        <f t="shared" si="6"/>
        <v>1400</v>
      </c>
      <c r="F44" s="150">
        <f t="shared" si="7"/>
        <v>0.1</v>
      </c>
      <c r="N44" s="5"/>
      <c r="O44" s="6"/>
    </row>
    <row r="45" spans="2:21" s="33" customFormat="1" ht="16.05" customHeight="1" x14ac:dyDescent="0.3">
      <c r="B45" s="92" t="s">
        <v>251</v>
      </c>
      <c r="C45" s="64">
        <f>VLOOKUP($B45,'Mérleg terv'!$C$3:$E$109,3,FALSE)</f>
        <v>100100</v>
      </c>
      <c r="D45" s="68">
        <f>VLOOKUP($B45,'Mérleg terv'!$C$3:$E$109,2,FALSE)</f>
        <v>93800</v>
      </c>
      <c r="E45" s="68">
        <f t="shared" si="6"/>
        <v>6300</v>
      </c>
      <c r="F45" s="150">
        <f t="shared" si="7"/>
        <v>6.7164179104477612E-2</v>
      </c>
      <c r="N45" s="5"/>
      <c r="O45" s="6"/>
    </row>
    <row r="46" spans="2:21" s="33" customFormat="1" ht="16.05" customHeight="1" x14ac:dyDescent="0.3">
      <c r="B46" s="92" t="s">
        <v>252</v>
      </c>
      <c r="C46" s="64">
        <f>VLOOKUP($B46,'Mérleg terv'!$C$3:$E$109,3,FALSE)</f>
        <v>0</v>
      </c>
      <c r="D46" s="68">
        <f>VLOOKUP($B46,'Mérleg terv'!$C$3:$E$109,2,FALSE)</f>
        <v>0</v>
      </c>
      <c r="E46" s="68">
        <f t="shared" si="6"/>
        <v>0</v>
      </c>
      <c r="F46" s="150">
        <f t="shared" si="7"/>
        <v>0</v>
      </c>
      <c r="N46" s="5"/>
      <c r="O46" s="6"/>
    </row>
    <row r="47" spans="2:21" s="33" customFormat="1" ht="16.05" customHeight="1" x14ac:dyDescent="0.3">
      <c r="B47" s="92" t="s">
        <v>253</v>
      </c>
      <c r="C47" s="64">
        <f>VLOOKUP($B47,'Mérleg terv'!$C$3:$E$109,3,FALSE)</f>
        <v>181908</v>
      </c>
      <c r="D47" s="68">
        <f>VLOOKUP($B47,'Mérleg terv'!$C$3:$E$109,2,FALSE)</f>
        <v>585880</v>
      </c>
      <c r="E47" s="68">
        <f t="shared" si="6"/>
        <v>-403972</v>
      </c>
      <c r="F47" s="150">
        <f t="shared" si="7"/>
        <v>-0.68951321089642925</v>
      </c>
      <c r="N47" s="5"/>
      <c r="O47" s="6"/>
    </row>
    <row r="48" spans="2:21" s="37" customFormat="1" ht="16.05" customHeight="1" thickBot="1" x14ac:dyDescent="0.35">
      <c r="B48" s="58" t="s">
        <v>254</v>
      </c>
      <c r="C48" s="69">
        <f>VLOOKUP($B48,'Mérleg terv'!$C$3:$E$109,3,FALSE)</f>
        <v>5300</v>
      </c>
      <c r="D48" s="70">
        <f>VLOOKUP($B48,'Mérleg terv'!$C$3:$E$109,2,FALSE)</f>
        <v>4500</v>
      </c>
      <c r="E48" s="70">
        <f t="shared" si="6"/>
        <v>800</v>
      </c>
      <c r="F48" s="158">
        <f t="shared" si="7"/>
        <v>0.17777777777777778</v>
      </c>
      <c r="G48" s="33"/>
      <c r="H48" s="33"/>
      <c r="I48" s="33"/>
      <c r="J48" s="33"/>
      <c r="K48" s="33"/>
      <c r="L48" s="33"/>
      <c r="M48" s="33"/>
      <c r="N48" s="5"/>
      <c r="O48" s="38"/>
    </row>
    <row r="49" spans="2:20" s="37" customFormat="1" ht="16.05" customHeight="1" x14ac:dyDescent="0.3">
      <c r="B49" s="75" t="s">
        <v>268</v>
      </c>
      <c r="C49" s="76">
        <f>C50+C51+C52+C56</f>
        <v>6118139</v>
      </c>
      <c r="D49" s="77">
        <f t="shared" ref="D49" si="8">D50+D51+D52+D56</f>
        <v>4523880</v>
      </c>
      <c r="E49" s="77">
        <f t="shared" si="6"/>
        <v>1594259</v>
      </c>
      <c r="F49" s="156">
        <f t="shared" si="7"/>
        <v>0.35240965719691947</v>
      </c>
      <c r="G49" s="33"/>
      <c r="H49" s="33"/>
      <c r="I49" s="33"/>
      <c r="J49" s="33"/>
      <c r="K49" s="33"/>
      <c r="L49" s="33"/>
      <c r="M49" s="33"/>
      <c r="N49" s="5"/>
      <c r="O49" s="38"/>
    </row>
    <row r="50" spans="2:20" s="37" customFormat="1" ht="16.05" customHeight="1" x14ac:dyDescent="0.3">
      <c r="B50" s="58" t="s">
        <v>256</v>
      </c>
      <c r="C50" s="69">
        <f>VLOOKUP($B50,'Mérleg terv'!$C$3:$E$109,3,FALSE)</f>
        <v>1139107</v>
      </c>
      <c r="D50" s="70">
        <f>VLOOKUP($B50,'Mérleg terv'!$C$3:$E$109,2,FALSE)</f>
        <v>1139376</v>
      </c>
      <c r="E50" s="70">
        <f t="shared" si="6"/>
        <v>-269</v>
      </c>
      <c r="F50" s="158">
        <f t="shared" si="7"/>
        <v>-2.3609414275884344E-4</v>
      </c>
      <c r="G50" s="33"/>
      <c r="H50" s="33"/>
      <c r="I50" s="33"/>
      <c r="J50" s="33"/>
      <c r="K50" s="33"/>
      <c r="L50" s="33"/>
      <c r="M50" s="33"/>
      <c r="N50" s="5"/>
      <c r="O50" s="38"/>
    </row>
    <row r="51" spans="2:20" s="37" customFormat="1" ht="16.05" customHeight="1" x14ac:dyDescent="0.3">
      <c r="B51" s="58" t="s">
        <v>257</v>
      </c>
      <c r="C51" s="69">
        <f>VLOOKUP($B51,'Mérleg terv'!$C$3:$E$109,3,FALSE)</f>
        <v>0</v>
      </c>
      <c r="D51" s="70">
        <f>VLOOKUP($B51,'Mérleg terv'!$C$3:$E$109,2,FALSE)</f>
        <v>0</v>
      </c>
      <c r="E51" s="70">
        <f t="shared" si="6"/>
        <v>0</v>
      </c>
      <c r="F51" s="158">
        <f t="shared" si="7"/>
        <v>0</v>
      </c>
      <c r="G51" s="33"/>
      <c r="H51" s="33"/>
      <c r="I51" s="33"/>
      <c r="J51" s="33"/>
      <c r="K51" s="33"/>
      <c r="L51" s="33"/>
      <c r="M51" s="33"/>
      <c r="N51" s="5"/>
      <c r="O51" s="38"/>
    </row>
    <row r="52" spans="2:20" s="37" customFormat="1" ht="16.05" customHeight="1" x14ac:dyDescent="0.3">
      <c r="B52" s="58" t="s">
        <v>258</v>
      </c>
      <c r="C52" s="69">
        <f>VLOOKUP($B52,'Mérleg terv'!$C$3:$E$109,3,FALSE)</f>
        <v>2105418</v>
      </c>
      <c r="D52" s="70">
        <f>VLOOKUP($B52,'Mérleg terv'!$C$3:$E$109,2,FALSE)</f>
        <v>2122500</v>
      </c>
      <c r="E52" s="70">
        <f t="shared" si="6"/>
        <v>-17082</v>
      </c>
      <c r="F52" s="158">
        <f t="shared" si="7"/>
        <v>-8.0480565371024732E-3</v>
      </c>
      <c r="G52" s="33"/>
      <c r="H52" s="33"/>
      <c r="I52" s="33"/>
      <c r="J52" s="33"/>
      <c r="K52" s="33"/>
      <c r="L52" s="33"/>
      <c r="M52" s="33"/>
      <c r="N52" s="5"/>
      <c r="O52" s="38"/>
    </row>
    <row r="53" spans="2:20" s="33" customFormat="1" ht="16.05" customHeight="1" x14ac:dyDescent="0.3">
      <c r="B53" s="92" t="s">
        <v>259</v>
      </c>
      <c r="C53" s="64">
        <f>VLOOKUP($B53,'Mérleg terv'!$C$3:$E$109,3,FALSE)</f>
        <v>0</v>
      </c>
      <c r="D53" s="68">
        <f>VLOOKUP($B53,'Mérleg terv'!$C$3:$E$109,2,FALSE)</f>
        <v>0</v>
      </c>
      <c r="E53" s="68">
        <f t="shared" si="6"/>
        <v>0</v>
      </c>
      <c r="F53" s="150">
        <f t="shared" si="7"/>
        <v>0</v>
      </c>
      <c r="N53" s="5"/>
      <c r="O53" s="6"/>
    </row>
    <row r="54" spans="2:20" s="33" customFormat="1" ht="16.05" customHeight="1" x14ac:dyDescent="0.3">
      <c r="B54" s="92" t="s">
        <v>260</v>
      </c>
      <c r="C54" s="64">
        <f>VLOOKUP($B54,'Mérleg terv'!$C$3:$E$109,3,FALSE)</f>
        <v>1982918</v>
      </c>
      <c r="D54" s="68">
        <f>VLOOKUP($B54,'Mérleg terv'!$C$3:$E$109,2,FALSE)</f>
        <v>2010000</v>
      </c>
      <c r="E54" s="68">
        <f t="shared" si="6"/>
        <v>-27082</v>
      </c>
      <c r="F54" s="150">
        <f t="shared" si="7"/>
        <v>-1.3473631840796019E-2</v>
      </c>
      <c r="N54" s="5"/>
      <c r="O54" s="6"/>
    </row>
    <row r="55" spans="2:20" s="33" customFormat="1" ht="16.05" customHeight="1" x14ac:dyDescent="0.3">
      <c r="B55" s="92" t="s">
        <v>261</v>
      </c>
      <c r="C55" s="64">
        <f>VLOOKUP($B55,'Mérleg terv'!$C$3:$E$109,3,FALSE)</f>
        <v>122500</v>
      </c>
      <c r="D55" s="68">
        <f>VLOOKUP($B55,'Mérleg terv'!$C$3:$E$109,2,FALSE)</f>
        <v>112500</v>
      </c>
      <c r="E55" s="68">
        <f t="shared" si="6"/>
        <v>10000</v>
      </c>
      <c r="F55" s="150">
        <f t="shared" si="7"/>
        <v>8.8888888888888892E-2</v>
      </c>
      <c r="N55" s="5"/>
      <c r="O55" s="6"/>
    </row>
    <row r="56" spans="2:20" s="37" customFormat="1" ht="16.05" customHeight="1" thickBot="1" x14ac:dyDescent="0.35">
      <c r="B56" s="59" t="s">
        <v>51</v>
      </c>
      <c r="C56" s="71">
        <f>VLOOKUP($B56,'Mérleg terv'!$C$3:$E$109,3,FALSE)</f>
        <v>2873614</v>
      </c>
      <c r="D56" s="72">
        <f>VLOOKUP($B56,'Mérleg terv'!$C$3:$E$109,2,FALSE)</f>
        <v>1262004</v>
      </c>
      <c r="E56" s="72">
        <f t="shared" si="6"/>
        <v>1611610</v>
      </c>
      <c r="F56" s="159">
        <f t="shared" si="7"/>
        <v>1.2770244785278018</v>
      </c>
      <c r="G56" s="33"/>
      <c r="H56" s="33"/>
      <c r="I56" s="33"/>
      <c r="J56" s="33"/>
      <c r="K56" s="33"/>
      <c r="L56" s="33"/>
      <c r="M56" s="33"/>
      <c r="N56" s="5"/>
      <c r="O56" s="38"/>
    </row>
    <row r="57" spans="2:20" x14ac:dyDescent="0.3">
      <c r="K57" s="33"/>
      <c r="L57" s="33"/>
      <c r="M57" s="33"/>
      <c r="N57" s="33"/>
      <c r="O57" s="33"/>
      <c r="P57" s="33"/>
      <c r="Q57" s="33"/>
      <c r="R57" s="12"/>
      <c r="S57" s="12"/>
      <c r="T57" s="12"/>
    </row>
    <row r="58" spans="2:20" x14ac:dyDescent="0.3">
      <c r="K58" s="33"/>
      <c r="L58" s="33"/>
      <c r="M58" s="33"/>
      <c r="N58" s="33"/>
      <c r="O58" s="33"/>
      <c r="P58" s="33"/>
      <c r="Q58" s="33"/>
      <c r="R58" s="12"/>
      <c r="S58" s="12"/>
      <c r="T58" s="12"/>
    </row>
    <row r="59" spans="2:20" x14ac:dyDescent="0.3">
      <c r="K59" s="33"/>
      <c r="L59" s="33"/>
      <c r="M59" s="33"/>
      <c r="N59" s="33"/>
      <c r="O59" s="33"/>
      <c r="P59" s="33"/>
      <c r="Q59" s="33"/>
    </row>
  </sheetData>
  <mergeCells count="2">
    <mergeCell ref="E7:F7"/>
    <mergeCell ref="E37:F3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8"/>
  <dimension ref="B2:T94"/>
  <sheetViews>
    <sheetView showGridLines="0" zoomScale="80" zoomScaleNormal="80" workbookViewId="0">
      <selection activeCell="D13" sqref="D13"/>
    </sheetView>
  </sheetViews>
  <sheetFormatPr defaultColWidth="8.59765625" defaultRowHeight="14.4" x14ac:dyDescent="0.3"/>
  <cols>
    <col min="1" max="1" width="4.09765625" style="5" customWidth="1"/>
    <col min="2" max="3" width="36.09765625" style="5" customWidth="1"/>
    <col min="4" max="5" width="22.8984375" style="5" customWidth="1"/>
    <col min="6" max="6" width="22.69921875" style="5" customWidth="1"/>
    <col min="7" max="7" width="20.8984375" style="5" customWidth="1"/>
    <col min="8" max="10" width="20.796875" style="5" customWidth="1"/>
    <col min="11" max="11" width="1.09765625" style="5" customWidth="1"/>
    <col min="12" max="12" width="43.296875" style="5" customWidth="1"/>
    <col min="13" max="13" width="1.5" style="5" customWidth="1"/>
    <col min="14" max="14" width="39.19921875" style="5" customWidth="1"/>
    <col min="15" max="16384" width="8.59765625" style="5"/>
  </cols>
  <sheetData>
    <row r="2" spans="2:12" ht="16.95" customHeight="1" thickBot="1" x14ac:dyDescent="0.35">
      <c r="J2" s="60" t="s">
        <v>266</v>
      </c>
    </row>
    <row r="3" spans="2:12" ht="62.25" customHeight="1" x14ac:dyDescent="0.3">
      <c r="B3" s="233" t="s">
        <v>312</v>
      </c>
      <c r="C3" s="234" t="s">
        <v>305</v>
      </c>
      <c r="D3" s="235" t="s">
        <v>309</v>
      </c>
      <c r="E3" s="235" t="s">
        <v>307</v>
      </c>
      <c r="F3" s="236" t="s">
        <v>306</v>
      </c>
      <c r="G3" s="236" t="s">
        <v>379</v>
      </c>
      <c r="H3" s="236" t="s">
        <v>380</v>
      </c>
      <c r="I3" s="236" t="s">
        <v>381</v>
      </c>
      <c r="J3" s="237" t="s">
        <v>382</v>
      </c>
      <c r="L3" s="248" t="s">
        <v>313</v>
      </c>
    </row>
    <row r="4" spans="2:12" ht="33.6" customHeight="1" x14ac:dyDescent="0.3">
      <c r="B4" s="238" t="s">
        <v>377</v>
      </c>
      <c r="C4" s="160" t="s">
        <v>374</v>
      </c>
      <c r="D4" s="165">
        <v>45658</v>
      </c>
      <c r="E4" s="165">
        <v>46022</v>
      </c>
      <c r="F4" s="46">
        <v>500000</v>
      </c>
      <c r="G4" s="46">
        <v>0</v>
      </c>
      <c r="H4" s="46">
        <v>500000</v>
      </c>
      <c r="I4" s="46">
        <v>0</v>
      </c>
      <c r="J4" s="239">
        <v>0</v>
      </c>
      <c r="K4" s="45"/>
      <c r="L4" s="249"/>
    </row>
    <row r="5" spans="2:12" ht="33.6" customHeight="1" x14ac:dyDescent="0.3">
      <c r="B5" s="238" t="s">
        <v>377</v>
      </c>
      <c r="C5" s="160" t="s">
        <v>378</v>
      </c>
      <c r="D5" s="165">
        <v>45658</v>
      </c>
      <c r="E5" s="165">
        <v>46022</v>
      </c>
      <c r="F5" s="46">
        <v>312696</v>
      </c>
      <c r="G5" s="46">
        <v>0</v>
      </c>
      <c r="H5" s="46">
        <v>312696</v>
      </c>
      <c r="I5" s="46">
        <v>0</v>
      </c>
      <c r="J5" s="239">
        <v>0</v>
      </c>
      <c r="K5" s="45"/>
      <c r="L5" s="250"/>
    </row>
    <row r="6" spans="2:12" ht="48.6" customHeight="1" x14ac:dyDescent="0.3">
      <c r="B6" s="240" t="s">
        <v>376</v>
      </c>
      <c r="C6" s="284" t="s">
        <v>375</v>
      </c>
      <c r="D6" s="163">
        <v>45149</v>
      </c>
      <c r="E6" s="163">
        <v>46022</v>
      </c>
      <c r="F6" s="48">
        <v>3000000</v>
      </c>
      <c r="G6" s="48">
        <v>2000000</v>
      </c>
      <c r="H6" s="48">
        <v>1000000</v>
      </c>
      <c r="I6" s="48">
        <v>0</v>
      </c>
      <c r="J6" s="241">
        <v>0</v>
      </c>
      <c r="K6" s="45"/>
      <c r="L6" s="250"/>
    </row>
    <row r="7" spans="2:12" ht="33.6" customHeight="1" x14ac:dyDescent="0.3">
      <c r="B7" s="240"/>
      <c r="C7" s="161"/>
      <c r="D7" s="163"/>
      <c r="E7" s="163"/>
      <c r="F7" s="48"/>
      <c r="G7" s="48"/>
      <c r="H7" s="48"/>
      <c r="I7" s="48"/>
      <c r="J7" s="241"/>
      <c r="K7" s="45"/>
      <c r="L7" s="250"/>
    </row>
    <row r="8" spans="2:12" ht="16.05" customHeight="1" x14ac:dyDescent="0.3">
      <c r="B8" s="240"/>
      <c r="C8" s="161"/>
      <c r="D8" s="163"/>
      <c r="E8" s="163"/>
      <c r="F8" s="48"/>
      <c r="G8" s="48"/>
      <c r="H8" s="48"/>
      <c r="I8" s="48"/>
      <c r="J8" s="241"/>
      <c r="K8" s="45"/>
      <c r="L8" s="250"/>
    </row>
    <row r="9" spans="2:12" ht="16.05" customHeight="1" x14ac:dyDescent="0.3">
      <c r="B9" s="240"/>
      <c r="C9" s="161"/>
      <c r="D9" s="163"/>
      <c r="E9" s="163"/>
      <c r="F9" s="48"/>
      <c r="G9" s="48"/>
      <c r="H9" s="48"/>
      <c r="I9" s="48"/>
      <c r="J9" s="241"/>
      <c r="K9" s="45"/>
      <c r="L9" s="250"/>
    </row>
    <row r="10" spans="2:12" ht="16.05" customHeight="1" x14ac:dyDescent="0.3">
      <c r="B10" s="240"/>
      <c r="C10" s="161"/>
      <c r="D10" s="163"/>
      <c r="E10" s="163"/>
      <c r="F10" s="48"/>
      <c r="G10" s="48"/>
      <c r="H10" s="48"/>
      <c r="I10" s="48"/>
      <c r="J10" s="241"/>
      <c r="K10" s="45"/>
      <c r="L10" s="250"/>
    </row>
    <row r="11" spans="2:12" ht="16.05" customHeight="1" x14ac:dyDescent="0.3">
      <c r="B11" s="240"/>
      <c r="C11" s="161"/>
      <c r="D11" s="164"/>
      <c r="E11" s="164"/>
      <c r="F11" s="49"/>
      <c r="G11" s="49"/>
      <c r="H11" s="49"/>
      <c r="I11" s="49"/>
      <c r="J11" s="242"/>
      <c r="L11" s="251"/>
    </row>
    <row r="12" spans="2:12" ht="16.05" customHeight="1" x14ac:dyDescent="0.3">
      <c r="B12" s="240"/>
      <c r="C12" s="161"/>
      <c r="D12" s="164"/>
      <c r="E12" s="164"/>
      <c r="F12" s="49"/>
      <c r="G12" s="49"/>
      <c r="H12" s="49"/>
      <c r="I12" s="49"/>
      <c r="J12" s="242"/>
      <c r="L12" s="251"/>
    </row>
    <row r="13" spans="2:12" ht="16.05" customHeight="1" x14ac:dyDescent="0.3">
      <c r="B13" s="240"/>
      <c r="C13" s="161"/>
      <c r="D13" s="164"/>
      <c r="E13" s="164"/>
      <c r="F13" s="49"/>
      <c r="G13" s="49"/>
      <c r="H13" s="49"/>
      <c r="I13" s="49"/>
      <c r="J13" s="242"/>
      <c r="L13" s="251"/>
    </row>
    <row r="14" spans="2:12" ht="16.05" customHeight="1" x14ac:dyDescent="0.3">
      <c r="B14" s="240"/>
      <c r="C14" s="161"/>
      <c r="D14" s="164"/>
      <c r="E14" s="164"/>
      <c r="F14" s="49"/>
      <c r="G14" s="49"/>
      <c r="H14" s="49"/>
      <c r="I14" s="49"/>
      <c r="J14" s="242"/>
      <c r="L14" s="251"/>
    </row>
    <row r="15" spans="2:12" ht="16.05" customHeight="1" x14ac:dyDescent="0.3">
      <c r="B15" s="240"/>
      <c r="C15" s="161"/>
      <c r="D15" s="164"/>
      <c r="E15" s="164"/>
      <c r="F15" s="49"/>
      <c r="G15" s="49"/>
      <c r="H15" s="49"/>
      <c r="I15" s="49"/>
      <c r="J15" s="242"/>
      <c r="L15" s="251"/>
    </row>
    <row r="16" spans="2:12" ht="16.05" customHeight="1" x14ac:dyDescent="0.3">
      <c r="B16" s="240"/>
      <c r="C16" s="161"/>
      <c r="D16" s="164"/>
      <c r="E16" s="164"/>
      <c r="F16" s="49"/>
      <c r="G16" s="49"/>
      <c r="H16" s="49"/>
      <c r="I16" s="49"/>
      <c r="J16" s="242"/>
      <c r="L16" s="251"/>
    </row>
    <row r="17" spans="2:20" ht="16.05" customHeight="1" x14ac:dyDescent="0.3">
      <c r="B17" s="240"/>
      <c r="C17" s="161"/>
      <c r="D17" s="164"/>
      <c r="E17" s="164"/>
      <c r="F17" s="49"/>
      <c r="G17" s="49"/>
      <c r="H17" s="49"/>
      <c r="I17" s="49"/>
      <c r="J17" s="242"/>
      <c r="L17" s="251"/>
    </row>
    <row r="18" spans="2:20" ht="16.05" customHeight="1" x14ac:dyDescent="0.3">
      <c r="B18" s="240"/>
      <c r="C18" s="161"/>
      <c r="D18" s="164"/>
      <c r="E18" s="164"/>
      <c r="F18" s="49"/>
      <c r="G18" s="49"/>
      <c r="H18" s="49"/>
      <c r="I18" s="49"/>
      <c r="J18" s="242"/>
      <c r="L18" s="251"/>
    </row>
    <row r="19" spans="2:20" ht="16.05" customHeight="1" x14ac:dyDescent="0.3">
      <c r="B19" s="240"/>
      <c r="C19" s="161"/>
      <c r="D19" s="164"/>
      <c r="E19" s="164"/>
      <c r="F19" s="49"/>
      <c r="G19" s="49"/>
      <c r="H19" s="49"/>
      <c r="I19" s="49"/>
      <c r="J19" s="242"/>
      <c r="L19" s="251"/>
    </row>
    <row r="20" spans="2:20" ht="16.05" hidden="1" customHeight="1" x14ac:dyDescent="0.3">
      <c r="B20" s="240"/>
      <c r="C20" s="161"/>
      <c r="D20" s="161"/>
      <c r="E20" s="161"/>
      <c r="F20" s="49"/>
      <c r="G20" s="49"/>
      <c r="H20" s="47"/>
      <c r="I20" s="50"/>
      <c r="J20" s="243"/>
      <c r="L20" s="252"/>
    </row>
    <row r="21" spans="2:20" ht="16.05" hidden="1" customHeight="1" x14ac:dyDescent="0.3">
      <c r="B21" s="240"/>
      <c r="C21" s="161"/>
      <c r="D21" s="161"/>
      <c r="E21" s="161"/>
      <c r="F21" s="49"/>
      <c r="G21" s="49"/>
      <c r="H21" s="47"/>
      <c r="I21" s="50"/>
      <c r="J21" s="243"/>
      <c r="L21" s="252"/>
    </row>
    <row r="22" spans="2:20" ht="16.05" hidden="1" customHeight="1" x14ac:dyDescent="0.3">
      <c r="B22" s="240"/>
      <c r="C22" s="161"/>
      <c r="D22" s="161"/>
      <c r="E22" s="161"/>
      <c r="F22" s="49"/>
      <c r="G22" s="49"/>
      <c r="H22" s="47"/>
      <c r="I22" s="50"/>
      <c r="J22" s="243"/>
      <c r="L22" s="252"/>
    </row>
    <row r="23" spans="2:20" ht="16.05" hidden="1" customHeight="1" x14ac:dyDescent="0.3">
      <c r="B23" s="240"/>
      <c r="C23" s="161"/>
      <c r="D23" s="161"/>
      <c r="E23" s="161"/>
      <c r="F23" s="49"/>
      <c r="G23" s="49"/>
      <c r="H23" s="47"/>
      <c r="I23" s="50"/>
      <c r="J23" s="243"/>
      <c r="L23" s="252"/>
    </row>
    <row r="24" spans="2:20" ht="16.05" hidden="1" customHeight="1" x14ac:dyDescent="0.3">
      <c r="B24" s="240"/>
      <c r="C24" s="161"/>
      <c r="D24" s="162"/>
      <c r="E24" s="162"/>
      <c r="F24" s="51"/>
      <c r="G24" s="53"/>
      <c r="H24" s="47"/>
      <c r="I24" s="52"/>
      <c r="J24" s="244"/>
      <c r="L24" s="253"/>
    </row>
    <row r="25" spans="2:20" ht="15" thickBot="1" x14ac:dyDescent="0.35">
      <c r="B25" s="245" t="s">
        <v>1</v>
      </c>
      <c r="C25" s="246"/>
      <c r="D25" s="246"/>
      <c r="E25" s="246"/>
      <c r="F25" s="246">
        <f t="shared" ref="F25:J25" si="0">SUM(F4:F24)</f>
        <v>3812696</v>
      </c>
      <c r="G25" s="246">
        <f t="shared" si="0"/>
        <v>2000000</v>
      </c>
      <c r="H25" s="246">
        <f t="shared" si="0"/>
        <v>1812696</v>
      </c>
      <c r="I25" s="246">
        <f t="shared" si="0"/>
        <v>0</v>
      </c>
      <c r="J25" s="247">
        <f t="shared" si="0"/>
        <v>0</v>
      </c>
      <c r="L25" s="254"/>
    </row>
    <row r="26" spans="2:20" x14ac:dyDescent="0.3">
      <c r="B26" s="39"/>
      <c r="C26" s="39"/>
      <c r="D26" s="39"/>
      <c r="E26" s="39"/>
      <c r="F26" s="39"/>
      <c r="G26" s="40"/>
      <c r="H26" s="40"/>
      <c r="I26" s="40"/>
      <c r="J26" s="40"/>
      <c r="L26" s="40"/>
    </row>
    <row r="27" spans="2:20" s="41" customFormat="1" ht="15.6" x14ac:dyDescent="0.3">
      <c r="B27" s="43"/>
      <c r="C27" s="43"/>
      <c r="D27" s="43"/>
      <c r="E27" s="43"/>
      <c r="F27" s="43"/>
      <c r="G27" s="43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34" spans="6:12" x14ac:dyDescent="0.3">
      <c r="F34" s="130"/>
      <c r="G34" s="130"/>
      <c r="H34" s="130"/>
      <c r="I34" s="130"/>
      <c r="J34" s="130"/>
      <c r="L34" s="130"/>
    </row>
    <row r="77" spans="6:12" s="132" customFormat="1" x14ac:dyDescent="0.3"/>
    <row r="78" spans="6:12" s="132" customFormat="1" x14ac:dyDescent="0.3"/>
    <row r="79" spans="6:12" s="132" customFormat="1" x14ac:dyDescent="0.3"/>
    <row r="80" spans="6:12" s="132" customFormat="1" x14ac:dyDescent="0.3">
      <c r="F80" s="133"/>
      <c r="G80" s="133"/>
      <c r="H80" s="133"/>
      <c r="I80" s="133"/>
      <c r="J80" s="133"/>
      <c r="L80" s="133"/>
    </row>
    <row r="81" spans="6:12" s="132" customFormat="1" x14ac:dyDescent="0.3">
      <c r="F81" s="133"/>
      <c r="G81" s="133"/>
      <c r="H81" s="133"/>
      <c r="I81" s="133"/>
      <c r="J81" s="133"/>
      <c r="L81" s="133"/>
    </row>
    <row r="82" spans="6:12" s="132" customFormat="1" x14ac:dyDescent="0.3">
      <c r="F82" s="133"/>
      <c r="G82" s="133"/>
      <c r="H82" s="133"/>
      <c r="I82" s="133"/>
      <c r="J82" s="133"/>
      <c r="L82" s="133"/>
    </row>
    <row r="83" spans="6:12" s="132" customFormat="1" x14ac:dyDescent="0.3">
      <c r="F83" s="133"/>
      <c r="G83" s="133"/>
      <c r="H83" s="133"/>
      <c r="I83" s="133"/>
      <c r="J83" s="133"/>
      <c r="L83" s="133"/>
    </row>
    <row r="84" spans="6:12" s="132" customFormat="1" x14ac:dyDescent="0.3">
      <c r="F84" s="133"/>
      <c r="G84" s="133"/>
      <c r="H84" s="133"/>
      <c r="I84" s="133"/>
      <c r="J84" s="133"/>
      <c r="L84" s="133"/>
    </row>
    <row r="85" spans="6:12" s="132" customFormat="1" x14ac:dyDescent="0.3">
      <c r="F85" s="133"/>
      <c r="G85" s="133"/>
      <c r="H85" s="133"/>
      <c r="I85" s="133"/>
      <c r="J85" s="133"/>
      <c r="L85" s="133"/>
    </row>
    <row r="86" spans="6:12" s="132" customFormat="1" x14ac:dyDescent="0.3">
      <c r="F86" s="133"/>
      <c r="G86" s="133"/>
      <c r="H86" s="133"/>
      <c r="I86" s="133"/>
      <c r="J86" s="133"/>
      <c r="L86" s="133"/>
    </row>
    <row r="87" spans="6:12" s="132" customFormat="1" x14ac:dyDescent="0.3">
      <c r="F87" s="133"/>
      <c r="G87" s="133"/>
      <c r="H87" s="133"/>
      <c r="I87" s="133"/>
      <c r="J87" s="133"/>
      <c r="L87" s="133"/>
    </row>
    <row r="88" spans="6:12" s="132" customFormat="1" x14ac:dyDescent="0.3">
      <c r="F88" s="133"/>
      <c r="G88" s="133"/>
      <c r="H88" s="133"/>
      <c r="I88" s="133"/>
      <c r="J88" s="133"/>
      <c r="L88" s="133"/>
    </row>
    <row r="89" spans="6:12" s="132" customFormat="1" x14ac:dyDescent="0.3">
      <c r="F89" s="133"/>
      <c r="G89" s="133"/>
      <c r="H89" s="133"/>
      <c r="I89" s="133"/>
      <c r="J89" s="133"/>
      <c r="L89" s="133"/>
    </row>
    <row r="90" spans="6:12" s="132" customFormat="1" x14ac:dyDescent="0.3">
      <c r="F90" s="133"/>
      <c r="G90" s="133"/>
      <c r="H90" s="133"/>
      <c r="I90" s="133"/>
      <c r="J90" s="133"/>
      <c r="L90" s="133"/>
    </row>
    <row r="91" spans="6:12" s="132" customFormat="1" x14ac:dyDescent="0.3">
      <c r="F91" s="133"/>
      <c r="G91" s="133"/>
      <c r="H91" s="133"/>
      <c r="I91" s="133"/>
      <c r="J91" s="133"/>
      <c r="L91" s="133"/>
    </row>
    <row r="92" spans="6:12" s="132" customFormat="1" x14ac:dyDescent="0.3">
      <c r="F92" s="133"/>
      <c r="G92" s="133"/>
      <c r="H92" s="133"/>
      <c r="I92" s="133"/>
      <c r="J92" s="133"/>
      <c r="L92" s="133"/>
    </row>
    <row r="93" spans="6:12" s="132" customFormat="1" x14ac:dyDescent="0.3">
      <c r="F93" s="133"/>
      <c r="G93" s="133"/>
      <c r="H93" s="133"/>
      <c r="I93" s="133"/>
      <c r="J93" s="133"/>
      <c r="L93" s="133"/>
    </row>
    <row r="94" spans="6:12" s="132" customFormat="1" x14ac:dyDescent="0.3">
      <c r="F94" s="133"/>
      <c r="G94" s="133"/>
      <c r="H94" s="133"/>
      <c r="I94" s="133"/>
      <c r="J94" s="133"/>
      <c r="L94" s="133"/>
    </row>
  </sheetData>
  <phoneticPr fontId="46" type="noConversion"/>
  <pageMargins left="0.7" right="0.7" top="0.75" bottom="0.75" header="0.3" footer="0.3"/>
  <pageSetup paperSize="8" scale="87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12"/>
  <dimension ref="A1:Q56"/>
  <sheetViews>
    <sheetView showGridLines="0" zoomScale="110" zoomScaleNormal="110" workbookViewId="0">
      <pane xSplit="2" ySplit="3" topLeftCell="E4" activePane="bottomRight" state="frozen"/>
      <selection pane="topRight" activeCell="C1" sqref="C1"/>
      <selection pane="bottomLeft" activeCell="A3" sqref="A3"/>
      <selection pane="bottomRight" activeCell="J11" sqref="J11"/>
    </sheetView>
  </sheetViews>
  <sheetFormatPr defaultRowHeight="14.4" outlineLevelCol="1" x14ac:dyDescent="0.3"/>
  <cols>
    <col min="1" max="1" width="4.59765625" style="29" customWidth="1"/>
    <col min="2" max="2" width="44.296875" style="29" customWidth="1"/>
    <col min="3" max="3" width="13.796875" style="29" customWidth="1"/>
    <col min="4" max="6" width="13.5" style="29" customWidth="1" outlineLevel="1"/>
    <col min="7" max="15" width="13.19921875" style="29" customWidth="1" outlineLevel="1"/>
    <col min="16" max="16" width="15.59765625" style="29" customWidth="1"/>
    <col min="17" max="17" width="11.3984375" style="12" customWidth="1"/>
    <col min="18" max="258" width="8" style="12"/>
    <col min="259" max="259" width="4.296875" style="12" customWidth="1"/>
    <col min="260" max="260" width="51.69921875" style="12" customWidth="1"/>
    <col min="261" max="267" width="14.296875" style="12" customWidth="1"/>
    <col min="268" max="514" width="8" style="12"/>
    <col min="515" max="515" width="4.296875" style="12" customWidth="1"/>
    <col min="516" max="516" width="51.69921875" style="12" customWidth="1"/>
    <col min="517" max="523" width="14.296875" style="12" customWidth="1"/>
    <col min="524" max="770" width="8" style="12"/>
    <col min="771" max="771" width="4.296875" style="12" customWidth="1"/>
    <col min="772" max="772" width="51.69921875" style="12" customWidth="1"/>
    <col min="773" max="779" width="14.296875" style="12" customWidth="1"/>
    <col min="780" max="1026" width="8" style="12"/>
    <col min="1027" max="1027" width="4.296875" style="12" customWidth="1"/>
    <col min="1028" max="1028" width="51.69921875" style="12" customWidth="1"/>
    <col min="1029" max="1035" width="14.296875" style="12" customWidth="1"/>
    <col min="1036" max="1282" width="8" style="12"/>
    <col min="1283" max="1283" width="4.296875" style="12" customWidth="1"/>
    <col min="1284" max="1284" width="51.69921875" style="12" customWidth="1"/>
    <col min="1285" max="1291" width="14.296875" style="12" customWidth="1"/>
    <col min="1292" max="1538" width="8" style="12"/>
    <col min="1539" max="1539" width="4.296875" style="12" customWidth="1"/>
    <col min="1540" max="1540" width="51.69921875" style="12" customWidth="1"/>
    <col min="1541" max="1547" width="14.296875" style="12" customWidth="1"/>
    <col min="1548" max="1794" width="8" style="12"/>
    <col min="1795" max="1795" width="4.296875" style="12" customWidth="1"/>
    <col min="1796" max="1796" width="51.69921875" style="12" customWidth="1"/>
    <col min="1797" max="1803" width="14.296875" style="12" customWidth="1"/>
    <col min="1804" max="2050" width="8" style="12"/>
    <col min="2051" max="2051" width="4.296875" style="12" customWidth="1"/>
    <col min="2052" max="2052" width="51.69921875" style="12" customWidth="1"/>
    <col min="2053" max="2059" width="14.296875" style="12" customWidth="1"/>
    <col min="2060" max="2306" width="8" style="12"/>
    <col min="2307" max="2307" width="4.296875" style="12" customWidth="1"/>
    <col min="2308" max="2308" width="51.69921875" style="12" customWidth="1"/>
    <col min="2309" max="2315" width="14.296875" style="12" customWidth="1"/>
    <col min="2316" max="2562" width="8" style="12"/>
    <col min="2563" max="2563" width="4.296875" style="12" customWidth="1"/>
    <col min="2564" max="2564" width="51.69921875" style="12" customWidth="1"/>
    <col min="2565" max="2571" width="14.296875" style="12" customWidth="1"/>
    <col min="2572" max="2818" width="8" style="12"/>
    <col min="2819" max="2819" width="4.296875" style="12" customWidth="1"/>
    <col min="2820" max="2820" width="51.69921875" style="12" customWidth="1"/>
    <col min="2821" max="2827" width="14.296875" style="12" customWidth="1"/>
    <col min="2828" max="3074" width="8" style="12"/>
    <col min="3075" max="3075" width="4.296875" style="12" customWidth="1"/>
    <col min="3076" max="3076" width="51.69921875" style="12" customWidth="1"/>
    <col min="3077" max="3083" width="14.296875" style="12" customWidth="1"/>
    <col min="3084" max="3330" width="8" style="12"/>
    <col min="3331" max="3331" width="4.296875" style="12" customWidth="1"/>
    <col min="3332" max="3332" width="51.69921875" style="12" customWidth="1"/>
    <col min="3333" max="3339" width="14.296875" style="12" customWidth="1"/>
    <col min="3340" max="3586" width="8" style="12"/>
    <col min="3587" max="3587" width="4.296875" style="12" customWidth="1"/>
    <col min="3588" max="3588" width="51.69921875" style="12" customWidth="1"/>
    <col min="3589" max="3595" width="14.296875" style="12" customWidth="1"/>
    <col min="3596" max="3842" width="8" style="12"/>
    <col min="3843" max="3843" width="4.296875" style="12" customWidth="1"/>
    <col min="3844" max="3844" width="51.69921875" style="12" customWidth="1"/>
    <col min="3845" max="3851" width="14.296875" style="12" customWidth="1"/>
    <col min="3852" max="4098" width="8" style="12"/>
    <col min="4099" max="4099" width="4.296875" style="12" customWidth="1"/>
    <col min="4100" max="4100" width="51.69921875" style="12" customWidth="1"/>
    <col min="4101" max="4107" width="14.296875" style="12" customWidth="1"/>
    <col min="4108" max="4354" width="8" style="12"/>
    <col min="4355" max="4355" width="4.296875" style="12" customWidth="1"/>
    <col min="4356" max="4356" width="51.69921875" style="12" customWidth="1"/>
    <col min="4357" max="4363" width="14.296875" style="12" customWidth="1"/>
    <col min="4364" max="4610" width="8" style="12"/>
    <col min="4611" max="4611" width="4.296875" style="12" customWidth="1"/>
    <col min="4612" max="4612" width="51.69921875" style="12" customWidth="1"/>
    <col min="4613" max="4619" width="14.296875" style="12" customWidth="1"/>
    <col min="4620" max="4866" width="8" style="12"/>
    <col min="4867" max="4867" width="4.296875" style="12" customWidth="1"/>
    <col min="4868" max="4868" width="51.69921875" style="12" customWidth="1"/>
    <col min="4869" max="4875" width="14.296875" style="12" customWidth="1"/>
    <col min="4876" max="5122" width="8" style="12"/>
    <col min="5123" max="5123" width="4.296875" style="12" customWidth="1"/>
    <col min="5124" max="5124" width="51.69921875" style="12" customWidth="1"/>
    <col min="5125" max="5131" width="14.296875" style="12" customWidth="1"/>
    <col min="5132" max="5378" width="8" style="12"/>
    <col min="5379" max="5379" width="4.296875" style="12" customWidth="1"/>
    <col min="5380" max="5380" width="51.69921875" style="12" customWidth="1"/>
    <col min="5381" max="5387" width="14.296875" style="12" customWidth="1"/>
    <col min="5388" max="5634" width="8" style="12"/>
    <col min="5635" max="5635" width="4.296875" style="12" customWidth="1"/>
    <col min="5636" max="5636" width="51.69921875" style="12" customWidth="1"/>
    <col min="5637" max="5643" width="14.296875" style="12" customWidth="1"/>
    <col min="5644" max="5890" width="8" style="12"/>
    <col min="5891" max="5891" width="4.296875" style="12" customWidth="1"/>
    <col min="5892" max="5892" width="51.69921875" style="12" customWidth="1"/>
    <col min="5893" max="5899" width="14.296875" style="12" customWidth="1"/>
    <col min="5900" max="6146" width="8" style="12"/>
    <col min="6147" max="6147" width="4.296875" style="12" customWidth="1"/>
    <col min="6148" max="6148" width="51.69921875" style="12" customWidth="1"/>
    <col min="6149" max="6155" width="14.296875" style="12" customWidth="1"/>
    <col min="6156" max="6402" width="8" style="12"/>
    <col min="6403" max="6403" width="4.296875" style="12" customWidth="1"/>
    <col min="6404" max="6404" width="51.69921875" style="12" customWidth="1"/>
    <col min="6405" max="6411" width="14.296875" style="12" customWidth="1"/>
    <col min="6412" max="6658" width="8" style="12"/>
    <col min="6659" max="6659" width="4.296875" style="12" customWidth="1"/>
    <col min="6660" max="6660" width="51.69921875" style="12" customWidth="1"/>
    <col min="6661" max="6667" width="14.296875" style="12" customWidth="1"/>
    <col min="6668" max="6914" width="8" style="12"/>
    <col min="6915" max="6915" width="4.296875" style="12" customWidth="1"/>
    <col min="6916" max="6916" width="51.69921875" style="12" customWidth="1"/>
    <col min="6917" max="6923" width="14.296875" style="12" customWidth="1"/>
    <col min="6924" max="7170" width="8" style="12"/>
    <col min="7171" max="7171" width="4.296875" style="12" customWidth="1"/>
    <col min="7172" max="7172" width="51.69921875" style="12" customWidth="1"/>
    <col min="7173" max="7179" width="14.296875" style="12" customWidth="1"/>
    <col min="7180" max="7426" width="8" style="12"/>
    <col min="7427" max="7427" width="4.296875" style="12" customWidth="1"/>
    <col min="7428" max="7428" width="51.69921875" style="12" customWidth="1"/>
    <col min="7429" max="7435" width="14.296875" style="12" customWidth="1"/>
    <col min="7436" max="7682" width="8" style="12"/>
    <col min="7683" max="7683" width="4.296875" style="12" customWidth="1"/>
    <col min="7684" max="7684" width="51.69921875" style="12" customWidth="1"/>
    <col min="7685" max="7691" width="14.296875" style="12" customWidth="1"/>
    <col min="7692" max="7938" width="8" style="12"/>
    <col min="7939" max="7939" width="4.296875" style="12" customWidth="1"/>
    <col min="7940" max="7940" width="51.69921875" style="12" customWidth="1"/>
    <col min="7941" max="7947" width="14.296875" style="12" customWidth="1"/>
    <col min="7948" max="8194" width="8" style="12"/>
    <col min="8195" max="8195" width="4.296875" style="12" customWidth="1"/>
    <col min="8196" max="8196" width="51.69921875" style="12" customWidth="1"/>
    <col min="8197" max="8203" width="14.296875" style="12" customWidth="1"/>
    <col min="8204" max="8450" width="8" style="12"/>
    <col min="8451" max="8451" width="4.296875" style="12" customWidth="1"/>
    <col min="8452" max="8452" width="51.69921875" style="12" customWidth="1"/>
    <col min="8453" max="8459" width="14.296875" style="12" customWidth="1"/>
    <col min="8460" max="8706" width="8" style="12"/>
    <col min="8707" max="8707" width="4.296875" style="12" customWidth="1"/>
    <col min="8708" max="8708" width="51.69921875" style="12" customWidth="1"/>
    <col min="8709" max="8715" width="14.296875" style="12" customWidth="1"/>
    <col min="8716" max="8962" width="8" style="12"/>
    <col min="8963" max="8963" width="4.296875" style="12" customWidth="1"/>
    <col min="8964" max="8964" width="51.69921875" style="12" customWidth="1"/>
    <col min="8965" max="8971" width="14.296875" style="12" customWidth="1"/>
    <col min="8972" max="9218" width="8" style="12"/>
    <col min="9219" max="9219" width="4.296875" style="12" customWidth="1"/>
    <col min="9220" max="9220" width="51.69921875" style="12" customWidth="1"/>
    <col min="9221" max="9227" width="14.296875" style="12" customWidth="1"/>
    <col min="9228" max="9474" width="8" style="12"/>
    <col min="9475" max="9475" width="4.296875" style="12" customWidth="1"/>
    <col min="9476" max="9476" width="51.69921875" style="12" customWidth="1"/>
    <col min="9477" max="9483" width="14.296875" style="12" customWidth="1"/>
    <col min="9484" max="9730" width="8" style="12"/>
    <col min="9731" max="9731" width="4.296875" style="12" customWidth="1"/>
    <col min="9732" max="9732" width="51.69921875" style="12" customWidth="1"/>
    <col min="9733" max="9739" width="14.296875" style="12" customWidth="1"/>
    <col min="9740" max="9986" width="8" style="12"/>
    <col min="9987" max="9987" width="4.296875" style="12" customWidth="1"/>
    <col min="9988" max="9988" width="51.69921875" style="12" customWidth="1"/>
    <col min="9989" max="9995" width="14.296875" style="12" customWidth="1"/>
    <col min="9996" max="10242" width="8" style="12"/>
    <col min="10243" max="10243" width="4.296875" style="12" customWidth="1"/>
    <col min="10244" max="10244" width="51.69921875" style="12" customWidth="1"/>
    <col min="10245" max="10251" width="14.296875" style="12" customWidth="1"/>
    <col min="10252" max="10498" width="8" style="12"/>
    <col min="10499" max="10499" width="4.296875" style="12" customWidth="1"/>
    <col min="10500" max="10500" width="51.69921875" style="12" customWidth="1"/>
    <col min="10501" max="10507" width="14.296875" style="12" customWidth="1"/>
    <col min="10508" max="10754" width="8" style="12"/>
    <col min="10755" max="10755" width="4.296875" style="12" customWidth="1"/>
    <col min="10756" max="10756" width="51.69921875" style="12" customWidth="1"/>
    <col min="10757" max="10763" width="14.296875" style="12" customWidth="1"/>
    <col min="10764" max="11010" width="8" style="12"/>
    <col min="11011" max="11011" width="4.296875" style="12" customWidth="1"/>
    <col min="11012" max="11012" width="51.69921875" style="12" customWidth="1"/>
    <col min="11013" max="11019" width="14.296875" style="12" customWidth="1"/>
    <col min="11020" max="11266" width="8" style="12"/>
    <col min="11267" max="11267" width="4.296875" style="12" customWidth="1"/>
    <col min="11268" max="11268" width="51.69921875" style="12" customWidth="1"/>
    <col min="11269" max="11275" width="14.296875" style="12" customWidth="1"/>
    <col min="11276" max="11522" width="8" style="12"/>
    <col min="11523" max="11523" width="4.296875" style="12" customWidth="1"/>
    <col min="11524" max="11524" width="51.69921875" style="12" customWidth="1"/>
    <col min="11525" max="11531" width="14.296875" style="12" customWidth="1"/>
    <col min="11532" max="11778" width="8" style="12"/>
    <col min="11779" max="11779" width="4.296875" style="12" customWidth="1"/>
    <col min="11780" max="11780" width="51.69921875" style="12" customWidth="1"/>
    <col min="11781" max="11787" width="14.296875" style="12" customWidth="1"/>
    <col min="11788" max="12034" width="8" style="12"/>
    <col min="12035" max="12035" width="4.296875" style="12" customWidth="1"/>
    <col min="12036" max="12036" width="51.69921875" style="12" customWidth="1"/>
    <col min="12037" max="12043" width="14.296875" style="12" customWidth="1"/>
    <col min="12044" max="12290" width="8" style="12"/>
    <col min="12291" max="12291" width="4.296875" style="12" customWidth="1"/>
    <col min="12292" max="12292" width="51.69921875" style="12" customWidth="1"/>
    <col min="12293" max="12299" width="14.296875" style="12" customWidth="1"/>
    <col min="12300" max="12546" width="8" style="12"/>
    <col min="12547" max="12547" width="4.296875" style="12" customWidth="1"/>
    <col min="12548" max="12548" width="51.69921875" style="12" customWidth="1"/>
    <col min="12549" max="12555" width="14.296875" style="12" customWidth="1"/>
    <col min="12556" max="12802" width="8" style="12"/>
    <col min="12803" max="12803" width="4.296875" style="12" customWidth="1"/>
    <col min="12804" max="12804" width="51.69921875" style="12" customWidth="1"/>
    <col min="12805" max="12811" width="14.296875" style="12" customWidth="1"/>
    <col min="12812" max="13058" width="8" style="12"/>
    <col min="13059" max="13059" width="4.296875" style="12" customWidth="1"/>
    <col min="13060" max="13060" width="51.69921875" style="12" customWidth="1"/>
    <col min="13061" max="13067" width="14.296875" style="12" customWidth="1"/>
    <col min="13068" max="13314" width="8" style="12"/>
    <col min="13315" max="13315" width="4.296875" style="12" customWidth="1"/>
    <col min="13316" max="13316" width="51.69921875" style="12" customWidth="1"/>
    <col min="13317" max="13323" width="14.296875" style="12" customWidth="1"/>
    <col min="13324" max="13570" width="8" style="12"/>
    <col min="13571" max="13571" width="4.296875" style="12" customWidth="1"/>
    <col min="13572" max="13572" width="51.69921875" style="12" customWidth="1"/>
    <col min="13573" max="13579" width="14.296875" style="12" customWidth="1"/>
    <col min="13580" max="13826" width="8" style="12"/>
    <col min="13827" max="13827" width="4.296875" style="12" customWidth="1"/>
    <col min="13828" max="13828" width="51.69921875" style="12" customWidth="1"/>
    <col min="13829" max="13835" width="14.296875" style="12" customWidth="1"/>
    <col min="13836" max="14082" width="8" style="12"/>
    <col min="14083" max="14083" width="4.296875" style="12" customWidth="1"/>
    <col min="14084" max="14084" width="51.69921875" style="12" customWidth="1"/>
    <col min="14085" max="14091" width="14.296875" style="12" customWidth="1"/>
    <col min="14092" max="14338" width="8" style="12"/>
    <col min="14339" max="14339" width="4.296875" style="12" customWidth="1"/>
    <col min="14340" max="14340" width="51.69921875" style="12" customWidth="1"/>
    <col min="14341" max="14347" width="14.296875" style="12" customWidth="1"/>
    <col min="14348" max="14594" width="8" style="12"/>
    <col min="14595" max="14595" width="4.296875" style="12" customWidth="1"/>
    <col min="14596" max="14596" width="51.69921875" style="12" customWidth="1"/>
    <col min="14597" max="14603" width="14.296875" style="12" customWidth="1"/>
    <col min="14604" max="14850" width="8" style="12"/>
    <col min="14851" max="14851" width="4.296875" style="12" customWidth="1"/>
    <col min="14852" max="14852" width="51.69921875" style="12" customWidth="1"/>
    <col min="14853" max="14859" width="14.296875" style="12" customWidth="1"/>
    <col min="14860" max="15106" width="8" style="12"/>
    <col min="15107" max="15107" width="4.296875" style="12" customWidth="1"/>
    <col min="15108" max="15108" width="51.69921875" style="12" customWidth="1"/>
    <col min="15109" max="15115" width="14.296875" style="12" customWidth="1"/>
    <col min="15116" max="15362" width="8" style="12"/>
    <col min="15363" max="15363" width="4.296875" style="12" customWidth="1"/>
    <col min="15364" max="15364" width="51.69921875" style="12" customWidth="1"/>
    <col min="15365" max="15371" width="14.296875" style="12" customWidth="1"/>
    <col min="15372" max="15618" width="8" style="12"/>
    <col min="15619" max="15619" width="4.296875" style="12" customWidth="1"/>
    <col min="15620" max="15620" width="51.69921875" style="12" customWidth="1"/>
    <col min="15621" max="15627" width="14.296875" style="12" customWidth="1"/>
    <col min="15628" max="15874" width="8" style="12"/>
    <col min="15875" max="15875" width="4.296875" style="12" customWidth="1"/>
    <col min="15876" max="15876" width="51.69921875" style="12" customWidth="1"/>
    <col min="15877" max="15883" width="14.296875" style="12" customWidth="1"/>
    <col min="15884" max="16130" width="8" style="12"/>
    <col min="16131" max="16131" width="4.296875" style="12" customWidth="1"/>
    <col min="16132" max="16132" width="51.69921875" style="12" customWidth="1"/>
    <col min="16133" max="16139" width="14.296875" style="12" customWidth="1"/>
    <col min="16140" max="16365" width="8" style="12"/>
    <col min="16366" max="16384" width="8" style="12" customWidth="1"/>
  </cols>
  <sheetData>
    <row r="1" spans="1:17" ht="15" thickBot="1" x14ac:dyDescent="0.35">
      <c r="B1" s="90"/>
      <c r="C1" s="84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84"/>
    </row>
    <row r="2" spans="1:17" ht="23.1" customHeight="1" x14ac:dyDescent="0.3">
      <c r="A2" s="135"/>
      <c r="B2" s="173" t="s">
        <v>32</v>
      </c>
      <c r="C2" s="279">
        <v>45657</v>
      </c>
      <c r="D2" s="174" t="s">
        <v>353</v>
      </c>
      <c r="E2" s="175" t="s">
        <v>354</v>
      </c>
      <c r="F2" s="175" t="s">
        <v>355</v>
      </c>
      <c r="G2" s="175" t="s">
        <v>356</v>
      </c>
      <c r="H2" s="175" t="s">
        <v>357</v>
      </c>
      <c r="I2" s="175" t="s">
        <v>358</v>
      </c>
      <c r="J2" s="175" t="s">
        <v>359</v>
      </c>
      <c r="K2" s="175" t="s">
        <v>360</v>
      </c>
      <c r="L2" s="175" t="s">
        <v>361</v>
      </c>
      <c r="M2" s="175" t="s">
        <v>362</v>
      </c>
      <c r="N2" s="175" t="s">
        <v>363</v>
      </c>
      <c r="O2" s="176" t="s">
        <v>364</v>
      </c>
      <c r="P2" s="109">
        <v>46022</v>
      </c>
    </row>
    <row r="3" spans="1:17" s="25" customFormat="1" ht="14.55" customHeight="1" thickBot="1" x14ac:dyDescent="0.3">
      <c r="A3" s="136"/>
      <c r="B3" s="137"/>
      <c r="C3" s="280" t="s">
        <v>130</v>
      </c>
      <c r="D3" s="177" t="s">
        <v>31</v>
      </c>
      <c r="E3" s="9" t="s">
        <v>31</v>
      </c>
      <c r="F3" s="9" t="s">
        <v>31</v>
      </c>
      <c r="G3" s="9" t="s">
        <v>31</v>
      </c>
      <c r="H3" s="9" t="s">
        <v>31</v>
      </c>
      <c r="I3" s="9" t="s">
        <v>31</v>
      </c>
      <c r="J3" s="9" t="s">
        <v>31</v>
      </c>
      <c r="K3" s="9" t="s">
        <v>31</v>
      </c>
      <c r="L3" s="9" t="s">
        <v>31</v>
      </c>
      <c r="M3" s="9" t="s">
        <v>31</v>
      </c>
      <c r="N3" s="9" t="s">
        <v>31</v>
      </c>
      <c r="O3" s="9" t="s">
        <v>31</v>
      </c>
      <c r="P3" s="110" t="s">
        <v>30</v>
      </c>
    </row>
    <row r="4" spans="1:17" s="26" customFormat="1" ht="10.199999999999999" x14ac:dyDescent="0.2">
      <c r="A4" s="95" t="s">
        <v>53</v>
      </c>
      <c r="B4" s="96" t="s">
        <v>54</v>
      </c>
      <c r="C4" s="85">
        <v>481157492</v>
      </c>
      <c r="D4" s="178">
        <v>89482142</v>
      </c>
      <c r="E4" s="13">
        <v>81814610</v>
      </c>
      <c r="F4" s="178">
        <v>81452113</v>
      </c>
      <c r="G4" s="13">
        <v>79039842</v>
      </c>
      <c r="H4" s="178">
        <v>86837342</v>
      </c>
      <c r="I4" s="13">
        <v>89158451</v>
      </c>
      <c r="J4" s="178">
        <v>84892610</v>
      </c>
      <c r="K4" s="13">
        <v>85607326</v>
      </c>
      <c r="L4" s="178">
        <v>94943936</v>
      </c>
      <c r="M4" s="13">
        <v>85058187</v>
      </c>
      <c r="N4" s="178">
        <v>80807976</v>
      </c>
      <c r="O4" s="13">
        <v>80829489</v>
      </c>
      <c r="P4" s="111">
        <f>SUM(D4:O4)</f>
        <v>1019924024</v>
      </c>
    </row>
    <row r="5" spans="1:17" s="26" customFormat="1" ht="10.199999999999999" x14ac:dyDescent="0.2">
      <c r="A5" s="97" t="s">
        <v>55</v>
      </c>
      <c r="B5" s="98" t="s">
        <v>56</v>
      </c>
      <c r="C5" s="85"/>
      <c r="D5" s="179"/>
      <c r="E5" s="14"/>
      <c r="F5" s="14"/>
      <c r="G5" s="14"/>
      <c r="H5" s="14"/>
      <c r="I5" s="14"/>
      <c r="J5" s="14"/>
      <c r="K5" s="14"/>
      <c r="L5" s="14"/>
      <c r="M5" s="14"/>
      <c r="N5" s="14"/>
      <c r="O5" s="105"/>
      <c r="P5" s="112">
        <f>SUM(D5:O5)</f>
        <v>0</v>
      </c>
    </row>
    <row r="6" spans="1:17" s="27" customFormat="1" ht="12" x14ac:dyDescent="0.25">
      <c r="A6" s="99" t="s">
        <v>57</v>
      </c>
      <c r="B6" s="100" t="s">
        <v>58</v>
      </c>
      <c r="C6" s="86">
        <f t="shared" ref="C6" si="0">SUM(C4:C5)</f>
        <v>481157492</v>
      </c>
      <c r="D6" s="180">
        <f t="shared" ref="D6:O6" si="1">SUM(D4:D5)</f>
        <v>89482142</v>
      </c>
      <c r="E6" s="15">
        <f t="shared" si="1"/>
        <v>81814610</v>
      </c>
      <c r="F6" s="15">
        <f t="shared" si="1"/>
        <v>81452113</v>
      </c>
      <c r="G6" s="15">
        <f t="shared" si="1"/>
        <v>79039842</v>
      </c>
      <c r="H6" s="15">
        <f t="shared" si="1"/>
        <v>86837342</v>
      </c>
      <c r="I6" s="15">
        <f t="shared" si="1"/>
        <v>89158451</v>
      </c>
      <c r="J6" s="15">
        <f t="shared" si="1"/>
        <v>84892610</v>
      </c>
      <c r="K6" s="15">
        <f t="shared" si="1"/>
        <v>85607326</v>
      </c>
      <c r="L6" s="15">
        <f t="shared" si="1"/>
        <v>94943936</v>
      </c>
      <c r="M6" s="15">
        <f t="shared" si="1"/>
        <v>85058187</v>
      </c>
      <c r="N6" s="15">
        <f t="shared" si="1"/>
        <v>80807976</v>
      </c>
      <c r="O6" s="106">
        <f t="shared" si="1"/>
        <v>80829489</v>
      </c>
      <c r="P6" s="87">
        <f t="shared" ref="P6" si="2">SUM(P4:P5)</f>
        <v>1019924024</v>
      </c>
    </row>
    <row r="7" spans="1:17" s="26" customFormat="1" ht="10.199999999999999" x14ac:dyDescent="0.2">
      <c r="A7" s="97" t="s">
        <v>59</v>
      </c>
      <c r="B7" s="98" t="s">
        <v>60</v>
      </c>
      <c r="C7" s="85"/>
      <c r="D7" s="179"/>
      <c r="E7" s="14"/>
      <c r="F7" s="14"/>
      <c r="G7" s="14"/>
      <c r="H7" s="14"/>
      <c r="I7" s="14"/>
      <c r="J7" s="14"/>
      <c r="K7" s="14"/>
      <c r="L7" s="14"/>
      <c r="M7" s="14"/>
      <c r="N7" s="14"/>
      <c r="O7" s="105"/>
      <c r="P7" s="112">
        <f t="shared" ref="P7:P8" si="3">SUM(D7:O7)</f>
        <v>0</v>
      </c>
    </row>
    <row r="8" spans="1:17" s="26" customFormat="1" ht="10.199999999999999" x14ac:dyDescent="0.2">
      <c r="A8" s="97" t="s">
        <v>61</v>
      </c>
      <c r="B8" s="98" t="s">
        <v>62</v>
      </c>
      <c r="C8" s="85"/>
      <c r="D8" s="179"/>
      <c r="E8" s="14"/>
      <c r="F8" s="14"/>
      <c r="G8" s="14"/>
      <c r="H8" s="14"/>
      <c r="I8" s="14"/>
      <c r="J8" s="14"/>
      <c r="K8" s="14"/>
      <c r="L8" s="14"/>
      <c r="M8" s="14"/>
      <c r="N8" s="14"/>
      <c r="O8" s="105"/>
      <c r="P8" s="112">
        <f t="shared" si="3"/>
        <v>0</v>
      </c>
    </row>
    <row r="9" spans="1:17" s="27" customFormat="1" ht="12" x14ac:dyDescent="0.25">
      <c r="A9" s="99" t="s">
        <v>63</v>
      </c>
      <c r="B9" s="100" t="s">
        <v>64</v>
      </c>
      <c r="C9" s="86">
        <f t="shared" ref="C9" si="4">SUM(C7:C8)</f>
        <v>0</v>
      </c>
      <c r="D9" s="180">
        <f t="shared" ref="D9:O9" si="5">SUM(D7:D8)</f>
        <v>0</v>
      </c>
      <c r="E9" s="15">
        <f t="shared" si="5"/>
        <v>0</v>
      </c>
      <c r="F9" s="15">
        <f t="shared" si="5"/>
        <v>0</v>
      </c>
      <c r="G9" s="15">
        <f t="shared" si="5"/>
        <v>0</v>
      </c>
      <c r="H9" s="15">
        <f t="shared" si="5"/>
        <v>0</v>
      </c>
      <c r="I9" s="15">
        <f t="shared" si="5"/>
        <v>0</v>
      </c>
      <c r="J9" s="15">
        <f t="shared" si="5"/>
        <v>0</v>
      </c>
      <c r="K9" s="15">
        <f t="shared" si="5"/>
        <v>0</v>
      </c>
      <c r="L9" s="15">
        <f t="shared" si="5"/>
        <v>0</v>
      </c>
      <c r="M9" s="15">
        <f t="shared" si="5"/>
        <v>0</v>
      </c>
      <c r="N9" s="15">
        <f t="shared" si="5"/>
        <v>0</v>
      </c>
      <c r="O9" s="106">
        <f t="shared" si="5"/>
        <v>0</v>
      </c>
      <c r="P9" s="87">
        <f t="shared" ref="P9" si="6">SUM(P7:P8)</f>
        <v>0</v>
      </c>
    </row>
    <row r="10" spans="1:17" s="27" customFormat="1" ht="12" x14ac:dyDescent="0.25">
      <c r="A10" s="99" t="s">
        <v>65</v>
      </c>
      <c r="B10" s="100" t="s">
        <v>66</v>
      </c>
      <c r="C10" s="86">
        <v>883733578</v>
      </c>
      <c r="D10" s="180">
        <v>5684640</v>
      </c>
      <c r="E10" s="15">
        <v>5183264</v>
      </c>
      <c r="F10" s="15">
        <v>318380145</v>
      </c>
      <c r="G10" s="15">
        <v>5501267</v>
      </c>
      <c r="H10" s="15">
        <v>5684640</v>
      </c>
      <c r="I10" s="15">
        <v>5501267</v>
      </c>
      <c r="J10" s="15">
        <v>505684640</v>
      </c>
      <c r="K10" s="15">
        <v>5684640</v>
      </c>
      <c r="L10" s="15">
        <v>5501267</v>
      </c>
      <c r="M10" s="15">
        <v>5684640</v>
      </c>
      <c r="N10" s="15">
        <v>5501267</v>
      </c>
      <c r="O10" s="106">
        <v>5684640</v>
      </c>
      <c r="P10" s="87">
        <f t="shared" ref="P10:P11" si="7">SUM(D10:O10)</f>
        <v>879676317</v>
      </c>
    </row>
    <row r="11" spans="1:17" s="26" customFormat="1" ht="10.199999999999999" x14ac:dyDescent="0.2">
      <c r="A11" s="97"/>
      <c r="B11" s="98" t="s">
        <v>263</v>
      </c>
      <c r="C11" s="85"/>
      <c r="D11" s="17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05"/>
      <c r="P11" s="112">
        <f t="shared" si="7"/>
        <v>0</v>
      </c>
    </row>
    <row r="12" spans="1:17" s="26" customFormat="1" ht="10.199999999999999" x14ac:dyDescent="0.2">
      <c r="A12" s="97" t="s">
        <v>67</v>
      </c>
      <c r="B12" s="98" t="s">
        <v>68</v>
      </c>
      <c r="C12" s="85">
        <v>50301607</v>
      </c>
      <c r="D12" s="181">
        <v>9486624</v>
      </c>
      <c r="E12" s="125">
        <v>6964626</v>
      </c>
      <c r="F12" s="125">
        <v>7242626</v>
      </c>
      <c r="G12" s="125">
        <v>5769626</v>
      </c>
      <c r="H12" s="125">
        <v>3979626</v>
      </c>
      <c r="I12" s="125">
        <v>3079626</v>
      </c>
      <c r="J12" s="125">
        <v>7669626</v>
      </c>
      <c r="K12" s="125">
        <v>4769626</v>
      </c>
      <c r="L12" s="125">
        <v>4772626</v>
      </c>
      <c r="M12" s="125">
        <v>17577526</v>
      </c>
      <c r="N12" s="125">
        <v>4839626</v>
      </c>
      <c r="O12" s="125">
        <v>8229626</v>
      </c>
      <c r="P12" s="112">
        <v>84381410</v>
      </c>
      <c r="Q12" s="285"/>
    </row>
    <row r="13" spans="1:17" s="26" customFormat="1" ht="10.199999999999999" x14ac:dyDescent="0.2">
      <c r="A13" s="97" t="s">
        <v>69</v>
      </c>
      <c r="B13" s="98" t="s">
        <v>70</v>
      </c>
      <c r="C13" s="85">
        <f>10000000+240332745</f>
        <v>250332745</v>
      </c>
      <c r="D13" s="181">
        <v>38607619</v>
      </c>
      <c r="E13" s="125">
        <v>30806125</v>
      </c>
      <c r="F13" s="125">
        <v>50025280</v>
      </c>
      <c r="G13" s="125">
        <v>39617917</v>
      </c>
      <c r="H13" s="125">
        <v>38049925</v>
      </c>
      <c r="I13" s="125">
        <v>35219396</v>
      </c>
      <c r="J13" s="125">
        <v>37723893</v>
      </c>
      <c r="K13" s="125">
        <v>32892089</v>
      </c>
      <c r="L13" s="125">
        <v>40305136</v>
      </c>
      <c r="M13" s="125">
        <v>39306597</v>
      </c>
      <c r="N13" s="125">
        <v>32698806</v>
      </c>
      <c r="O13" s="125">
        <v>38065960</v>
      </c>
      <c r="P13" s="112">
        <v>453318743</v>
      </c>
      <c r="Q13" s="285"/>
    </row>
    <row r="14" spans="1:17" s="26" customFormat="1" ht="10.199999999999999" x14ac:dyDescent="0.2">
      <c r="A14" s="97" t="s">
        <v>71</v>
      </c>
      <c r="B14" s="98" t="s">
        <v>72</v>
      </c>
      <c r="C14" s="85">
        <v>39502314</v>
      </c>
      <c r="D14" s="181">
        <v>12829192</v>
      </c>
      <c r="E14" s="125">
        <v>1191302</v>
      </c>
      <c r="F14" s="125">
        <v>951500</v>
      </c>
      <c r="G14" s="125">
        <v>4250564</v>
      </c>
      <c r="H14" s="125">
        <v>500000</v>
      </c>
      <c r="I14" s="125">
        <v>1503000</v>
      </c>
      <c r="J14" s="125">
        <v>3810772</v>
      </c>
      <c r="K14" s="125">
        <v>901000</v>
      </c>
      <c r="L14" s="125">
        <v>9099127</v>
      </c>
      <c r="M14" s="125">
        <v>3673975</v>
      </c>
      <c r="N14" s="125">
        <v>500000</v>
      </c>
      <c r="O14" s="125">
        <v>3720288</v>
      </c>
      <c r="P14" s="112">
        <v>42930720</v>
      </c>
      <c r="Q14" s="285"/>
    </row>
    <row r="15" spans="1:17" s="26" customFormat="1" ht="10.199999999999999" x14ac:dyDescent="0.2">
      <c r="A15" s="97" t="s">
        <v>73</v>
      </c>
      <c r="B15" s="98" t="s">
        <v>74</v>
      </c>
      <c r="C15" s="85">
        <f>179348322+7444962+14163</f>
        <v>186807447</v>
      </c>
      <c r="D15" s="179">
        <v>30243840</v>
      </c>
      <c r="E15" s="14">
        <v>30243840</v>
      </c>
      <c r="F15" s="14">
        <f>30243840+3936205</f>
        <v>34180045</v>
      </c>
      <c r="G15" s="14">
        <v>30243840</v>
      </c>
      <c r="H15" s="14">
        <v>30243840</v>
      </c>
      <c r="I15" s="14">
        <v>30243840</v>
      </c>
      <c r="J15" s="14">
        <f>30243840+3936205</f>
        <v>34180045</v>
      </c>
      <c r="K15" s="14">
        <v>30243840</v>
      </c>
      <c r="L15" s="14">
        <v>30243840</v>
      </c>
      <c r="M15" s="14">
        <f>30243840+3936205</f>
        <v>34180045</v>
      </c>
      <c r="N15" s="14">
        <v>30243840</v>
      </c>
      <c r="O15" s="14">
        <v>30243840</v>
      </c>
      <c r="P15" s="112">
        <v>374734695</v>
      </c>
      <c r="Q15" s="285"/>
    </row>
    <row r="16" spans="1:17" s="26" customFormat="1" ht="10.199999999999999" x14ac:dyDescent="0.2">
      <c r="A16" s="97" t="s">
        <v>75</v>
      </c>
      <c r="B16" s="98" t="s">
        <v>76</v>
      </c>
      <c r="C16" s="85">
        <f>1361040+3027756</f>
        <v>4388796</v>
      </c>
      <c r="D16" s="179">
        <v>30000</v>
      </c>
      <c r="E16" s="14">
        <v>30000</v>
      </c>
      <c r="F16" s="14">
        <v>50000</v>
      </c>
      <c r="G16" s="14">
        <v>50000</v>
      </c>
      <c r="H16" s="14">
        <v>150000</v>
      </c>
      <c r="I16" s="14">
        <v>150000</v>
      </c>
      <c r="J16" s="14">
        <v>150000</v>
      </c>
      <c r="K16" s="14">
        <v>150000</v>
      </c>
      <c r="L16" s="14">
        <v>150000</v>
      </c>
      <c r="M16" s="14">
        <v>100000</v>
      </c>
      <c r="N16" s="14">
        <v>50000</v>
      </c>
      <c r="O16" s="14">
        <v>30000</v>
      </c>
      <c r="P16" s="112">
        <v>1090000</v>
      </c>
      <c r="Q16" s="285"/>
    </row>
    <row r="17" spans="1:17" s="27" customFormat="1" ht="12" x14ac:dyDescent="0.25">
      <c r="A17" s="99" t="s">
        <v>77</v>
      </c>
      <c r="B17" s="100" t="s">
        <v>78</v>
      </c>
      <c r="C17" s="86">
        <f t="shared" ref="C17" si="8">SUM(C12:C16)</f>
        <v>531332909</v>
      </c>
      <c r="D17" s="180">
        <f t="shared" ref="D17:O17" si="9">SUM(D12:D16)</f>
        <v>91197275</v>
      </c>
      <c r="E17" s="15">
        <f t="shared" si="9"/>
        <v>69235893</v>
      </c>
      <c r="F17" s="15">
        <f t="shared" si="9"/>
        <v>92449451</v>
      </c>
      <c r="G17" s="15">
        <f t="shared" si="9"/>
        <v>79931947</v>
      </c>
      <c r="H17" s="15">
        <f t="shared" si="9"/>
        <v>72923391</v>
      </c>
      <c r="I17" s="15">
        <f t="shared" si="9"/>
        <v>70195862</v>
      </c>
      <c r="J17" s="15">
        <f t="shared" si="9"/>
        <v>83534336</v>
      </c>
      <c r="K17" s="15">
        <f t="shared" si="9"/>
        <v>68956555</v>
      </c>
      <c r="L17" s="15">
        <f t="shared" si="9"/>
        <v>84570729</v>
      </c>
      <c r="M17" s="15">
        <f t="shared" si="9"/>
        <v>94838143</v>
      </c>
      <c r="N17" s="15">
        <f t="shared" si="9"/>
        <v>68332272</v>
      </c>
      <c r="O17" s="106">
        <f t="shared" si="9"/>
        <v>80289714</v>
      </c>
      <c r="P17" s="87">
        <f>SUM(P12:P16)</f>
        <v>956455568</v>
      </c>
      <c r="Q17" s="285"/>
    </row>
    <row r="18" spans="1:17" s="26" customFormat="1" ht="10.199999999999999" x14ac:dyDescent="0.2">
      <c r="A18" s="97" t="s">
        <v>79</v>
      </c>
      <c r="B18" s="98" t="s">
        <v>80</v>
      </c>
      <c r="C18" s="85">
        <f>2000000+328382379</f>
        <v>330382379</v>
      </c>
      <c r="D18" s="179">
        <v>29900352</v>
      </c>
      <c r="E18" s="14">
        <v>30314352</v>
      </c>
      <c r="F18" s="14">
        <v>31415352</v>
      </c>
      <c r="G18" s="14">
        <v>31522552</v>
      </c>
      <c r="H18" s="14">
        <v>30827352</v>
      </c>
      <c r="I18" s="14">
        <v>33909752</v>
      </c>
      <c r="J18" s="14">
        <v>33434552</v>
      </c>
      <c r="K18" s="14">
        <v>34078352</v>
      </c>
      <c r="L18" s="14">
        <v>33457152</v>
      </c>
      <c r="M18" s="14">
        <v>33286352</v>
      </c>
      <c r="N18" s="14">
        <v>33983952</v>
      </c>
      <c r="O18" s="14">
        <v>33635152</v>
      </c>
      <c r="P18" s="112">
        <f t="shared" ref="P18:P20" si="10">SUM(D18:O18)</f>
        <v>389765224</v>
      </c>
      <c r="Q18" s="285"/>
    </row>
    <row r="19" spans="1:17" s="26" customFormat="1" ht="10.199999999999999" x14ac:dyDescent="0.2">
      <c r="A19" s="97" t="s">
        <v>81</v>
      </c>
      <c r="B19" s="98" t="s">
        <v>82</v>
      </c>
      <c r="C19" s="85">
        <f>5100000+30239836</f>
        <v>35339836</v>
      </c>
      <c r="D19" s="179">
        <v>2668590</v>
      </c>
      <c r="E19" s="14">
        <v>2668280</v>
      </c>
      <c r="F19" s="14">
        <v>2718280</v>
      </c>
      <c r="G19" s="14">
        <v>2736080</v>
      </c>
      <c r="H19" s="14">
        <v>2770970</v>
      </c>
      <c r="I19" s="14">
        <v>3027900</v>
      </c>
      <c r="J19" s="14">
        <v>3037610</v>
      </c>
      <c r="K19" s="14">
        <v>3001040</v>
      </c>
      <c r="L19" s="14">
        <v>2964470</v>
      </c>
      <c r="M19" s="14">
        <v>3304280</v>
      </c>
      <c r="N19" s="14">
        <v>2931560</v>
      </c>
      <c r="O19" s="14">
        <v>3417920</v>
      </c>
      <c r="P19" s="112">
        <f t="shared" si="10"/>
        <v>35246980</v>
      </c>
      <c r="Q19" s="285"/>
    </row>
    <row r="20" spans="1:17" s="26" customFormat="1" ht="10.199999999999999" x14ac:dyDescent="0.2">
      <c r="A20" s="97" t="s">
        <v>83</v>
      </c>
      <c r="B20" s="98" t="s">
        <v>84</v>
      </c>
      <c r="C20" s="85">
        <f>5742646</f>
        <v>5742646</v>
      </c>
      <c r="D20" s="179">
        <v>357537</v>
      </c>
      <c r="E20" s="14">
        <v>357537</v>
      </c>
      <c r="F20" s="14">
        <v>1461714</v>
      </c>
      <c r="G20" s="14">
        <v>357537</v>
      </c>
      <c r="H20" s="14">
        <v>357537</v>
      </c>
      <c r="I20" s="14">
        <v>1461714</v>
      </c>
      <c r="J20" s="14">
        <v>357537</v>
      </c>
      <c r="K20" s="14">
        <v>357537</v>
      </c>
      <c r="L20" s="14">
        <v>1461714</v>
      </c>
      <c r="M20" s="14">
        <v>357537</v>
      </c>
      <c r="N20" s="14">
        <v>357537</v>
      </c>
      <c r="O20" s="14">
        <v>1461714</v>
      </c>
      <c r="P20" s="112">
        <f t="shared" si="10"/>
        <v>8707152</v>
      </c>
      <c r="Q20" s="285"/>
    </row>
    <row r="21" spans="1:17" s="27" customFormat="1" ht="12" x14ac:dyDescent="0.25">
      <c r="A21" s="99" t="s">
        <v>85</v>
      </c>
      <c r="B21" s="100" t="s">
        <v>86</v>
      </c>
      <c r="C21" s="86">
        <f t="shared" ref="C21" si="11">SUM(C18:C20)</f>
        <v>371464861</v>
      </c>
      <c r="D21" s="180">
        <f t="shared" ref="D21:O21" si="12">SUM(D18:D20)</f>
        <v>32926479</v>
      </c>
      <c r="E21" s="15">
        <f t="shared" si="12"/>
        <v>33340169</v>
      </c>
      <c r="F21" s="15">
        <f t="shared" si="12"/>
        <v>35595346</v>
      </c>
      <c r="G21" s="15">
        <f t="shared" si="12"/>
        <v>34616169</v>
      </c>
      <c r="H21" s="15">
        <f t="shared" si="12"/>
        <v>33955859</v>
      </c>
      <c r="I21" s="15">
        <f t="shared" si="12"/>
        <v>38399366</v>
      </c>
      <c r="J21" s="15">
        <f t="shared" si="12"/>
        <v>36829699</v>
      </c>
      <c r="K21" s="15">
        <f t="shared" si="12"/>
        <v>37436929</v>
      </c>
      <c r="L21" s="15">
        <f t="shared" si="12"/>
        <v>37883336</v>
      </c>
      <c r="M21" s="15">
        <f t="shared" si="12"/>
        <v>36948169</v>
      </c>
      <c r="N21" s="15">
        <f t="shared" si="12"/>
        <v>37273049</v>
      </c>
      <c r="O21" s="106">
        <f t="shared" si="12"/>
        <v>38514786</v>
      </c>
      <c r="P21" s="87">
        <f t="shared" ref="P21" si="13">SUM(P18:P20)</f>
        <v>433719356</v>
      </c>
      <c r="Q21" s="285"/>
    </row>
    <row r="22" spans="1:17" s="27" customFormat="1" ht="12" x14ac:dyDescent="0.25">
      <c r="A22" s="99" t="s">
        <v>87</v>
      </c>
      <c r="B22" s="100" t="s">
        <v>88</v>
      </c>
      <c r="C22" s="87">
        <v>144176684</v>
      </c>
      <c r="D22" s="182">
        <v>12980000</v>
      </c>
      <c r="E22" s="28">
        <v>13946000</v>
      </c>
      <c r="F22" s="28">
        <v>13462000</v>
      </c>
      <c r="G22" s="28">
        <v>12926000</v>
      </c>
      <c r="H22" s="28">
        <v>12450000</v>
      </c>
      <c r="I22" s="28">
        <v>12080000</v>
      </c>
      <c r="J22" s="28">
        <v>12240000</v>
      </c>
      <c r="K22" s="28">
        <v>12340000</v>
      </c>
      <c r="L22" s="28">
        <v>12080000</v>
      </c>
      <c r="M22" s="28">
        <v>12200000</v>
      </c>
      <c r="N22" s="28">
        <v>12000000</v>
      </c>
      <c r="O22" s="28">
        <v>12000000</v>
      </c>
      <c r="P22" s="113">
        <f t="shared" ref="P22:P24" si="14">SUM(D22:O22)</f>
        <v>150704000</v>
      </c>
      <c r="Q22" s="285"/>
    </row>
    <row r="23" spans="1:17" s="27" customFormat="1" ht="12" x14ac:dyDescent="0.25">
      <c r="A23" s="99" t="s">
        <v>89</v>
      </c>
      <c r="B23" s="100" t="s">
        <v>90</v>
      </c>
      <c r="C23" s="87">
        <v>321097840</v>
      </c>
      <c r="D23" s="182">
        <v>113885</v>
      </c>
      <c r="E23" s="28">
        <v>93385</v>
      </c>
      <c r="F23" s="28">
        <v>158763638</v>
      </c>
      <c r="G23" s="28">
        <v>738385</v>
      </c>
      <c r="H23" s="28">
        <v>93385</v>
      </c>
      <c r="I23" s="28">
        <v>616385</v>
      </c>
      <c r="J23" s="28">
        <v>132573</v>
      </c>
      <c r="K23" s="28">
        <v>93385</v>
      </c>
      <c r="L23" s="28">
        <v>158758638</v>
      </c>
      <c r="M23" s="28">
        <v>93385</v>
      </c>
      <c r="N23" s="28">
        <v>93385</v>
      </c>
      <c r="O23" s="28">
        <v>316385</v>
      </c>
      <c r="P23" s="113">
        <f t="shared" si="14"/>
        <v>319906814</v>
      </c>
      <c r="Q23" s="285"/>
    </row>
    <row r="24" spans="1:17" s="26" customFormat="1" ht="10.199999999999999" x14ac:dyDescent="0.2">
      <c r="A24" s="97"/>
      <c r="B24" s="98" t="s">
        <v>264</v>
      </c>
      <c r="C24" s="85"/>
      <c r="D24" s="179"/>
      <c r="E24" s="14"/>
      <c r="F24" s="14">
        <v>0</v>
      </c>
      <c r="G24" s="14"/>
      <c r="H24" s="14"/>
      <c r="I24" s="14"/>
      <c r="J24" s="14"/>
      <c r="K24" s="14"/>
      <c r="L24" s="14"/>
      <c r="M24" s="14"/>
      <c r="N24" s="14"/>
      <c r="O24" s="105"/>
      <c r="P24" s="112">
        <f t="shared" si="14"/>
        <v>0</v>
      </c>
      <c r="Q24" s="285"/>
    </row>
    <row r="25" spans="1:17" x14ac:dyDescent="0.3">
      <c r="A25" s="101" t="s">
        <v>33</v>
      </c>
      <c r="B25" s="102" t="s">
        <v>91</v>
      </c>
      <c r="C25" s="88">
        <f t="shared" ref="C25" si="15">C6+C9+C10-C17-C21-C22-C23</f>
        <v>-3181224</v>
      </c>
      <c r="D25" s="183">
        <f t="shared" ref="D25:O25" si="16">D6+D9+D10-D17-D21-D22-D23</f>
        <v>-42050857</v>
      </c>
      <c r="E25" s="16">
        <f>E6+E9+E10-E17-E21-E22-E23</f>
        <v>-29617573</v>
      </c>
      <c r="F25" s="16">
        <f t="shared" si="16"/>
        <v>99561823</v>
      </c>
      <c r="G25" s="16">
        <f t="shared" si="16"/>
        <v>-43671392</v>
      </c>
      <c r="H25" s="16">
        <f t="shared" si="16"/>
        <v>-26900653</v>
      </c>
      <c r="I25" s="16">
        <f>I6+I9+I10-I17-I21-I22-I23</f>
        <v>-26631895</v>
      </c>
      <c r="J25" s="16">
        <f t="shared" si="16"/>
        <v>457840642</v>
      </c>
      <c r="K25" s="16">
        <f t="shared" si="16"/>
        <v>-27534903</v>
      </c>
      <c r="L25" s="16">
        <f t="shared" si="16"/>
        <v>-192847500</v>
      </c>
      <c r="M25" s="16">
        <f t="shared" si="16"/>
        <v>-53336870</v>
      </c>
      <c r="N25" s="16">
        <f t="shared" si="16"/>
        <v>-31389463</v>
      </c>
      <c r="O25" s="108">
        <f t="shared" si="16"/>
        <v>-44606756</v>
      </c>
      <c r="P25" s="128">
        <f t="shared" ref="P25" si="17">P6+P9+P10-P17-P21-P22-P23</f>
        <v>38814603</v>
      </c>
    </row>
    <row r="26" spans="1:17" s="26" customFormat="1" ht="10.199999999999999" x14ac:dyDescent="0.2">
      <c r="A26" s="97" t="s">
        <v>92</v>
      </c>
      <c r="B26" s="98" t="s">
        <v>93</v>
      </c>
      <c r="C26" s="85"/>
      <c r="D26" s="179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05"/>
      <c r="P26" s="112">
        <f t="shared" ref="P26:P35" si="18">SUM(D26:O26)</f>
        <v>0</v>
      </c>
    </row>
    <row r="27" spans="1:17" s="26" customFormat="1" ht="10.199999999999999" x14ac:dyDescent="0.2">
      <c r="A27" s="97"/>
      <c r="B27" s="98" t="s">
        <v>94</v>
      </c>
      <c r="C27" s="85"/>
      <c r="D27" s="179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05"/>
      <c r="P27" s="112">
        <f t="shared" si="18"/>
        <v>0</v>
      </c>
    </row>
    <row r="28" spans="1:17" s="26" customFormat="1" ht="10.199999999999999" x14ac:dyDescent="0.2">
      <c r="A28" s="97" t="s">
        <v>95</v>
      </c>
      <c r="B28" s="98" t="s">
        <v>96</v>
      </c>
      <c r="C28" s="85"/>
      <c r="D28" s="179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05"/>
      <c r="P28" s="112">
        <f t="shared" si="18"/>
        <v>0</v>
      </c>
    </row>
    <row r="29" spans="1:17" s="26" customFormat="1" ht="10.199999999999999" x14ac:dyDescent="0.2">
      <c r="A29" s="97"/>
      <c r="B29" s="98" t="s">
        <v>97</v>
      </c>
      <c r="C29" s="85"/>
      <c r="D29" s="17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05"/>
      <c r="P29" s="112">
        <f t="shared" si="18"/>
        <v>0</v>
      </c>
    </row>
    <row r="30" spans="1:17" s="26" customFormat="1" ht="10.199999999999999" x14ac:dyDescent="0.2">
      <c r="A30" s="97" t="s">
        <v>98</v>
      </c>
      <c r="B30" s="98" t="s">
        <v>99</v>
      </c>
      <c r="C30" s="85"/>
      <c r="D30" s="179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05"/>
      <c r="P30" s="112">
        <f t="shared" si="18"/>
        <v>0</v>
      </c>
    </row>
    <row r="31" spans="1:17" s="26" customFormat="1" ht="10.199999999999999" x14ac:dyDescent="0.2">
      <c r="A31" s="97"/>
      <c r="B31" s="98" t="s">
        <v>100</v>
      </c>
      <c r="C31" s="85"/>
      <c r="D31" s="179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05"/>
      <c r="P31" s="112">
        <f t="shared" si="18"/>
        <v>0</v>
      </c>
    </row>
    <row r="32" spans="1:17" s="26" customFormat="1" ht="10.199999999999999" x14ac:dyDescent="0.2">
      <c r="A32" s="97" t="s">
        <v>101</v>
      </c>
      <c r="B32" s="98" t="s">
        <v>102</v>
      </c>
      <c r="C32" s="85">
        <v>21466923</v>
      </c>
      <c r="D32" s="179">
        <v>150000</v>
      </c>
      <c r="E32" s="14">
        <v>150000</v>
      </c>
      <c r="F32" s="14">
        <v>150000</v>
      </c>
      <c r="G32" s="14">
        <v>690000</v>
      </c>
      <c r="H32" s="14">
        <v>540000</v>
      </c>
      <c r="I32" s="14">
        <v>500000</v>
      </c>
      <c r="J32" s="14">
        <v>470000</v>
      </c>
      <c r="K32" s="14">
        <v>350000</v>
      </c>
      <c r="L32" s="14">
        <v>250000</v>
      </c>
      <c r="M32" s="14">
        <v>250000</v>
      </c>
      <c r="N32" s="14">
        <v>200000</v>
      </c>
      <c r="O32" s="105">
        <v>200000</v>
      </c>
      <c r="P32" s="112">
        <f t="shared" si="18"/>
        <v>3900000</v>
      </c>
    </row>
    <row r="33" spans="1:16" s="26" customFormat="1" ht="10.199999999999999" x14ac:dyDescent="0.2">
      <c r="A33" s="97"/>
      <c r="B33" s="98" t="s">
        <v>103</v>
      </c>
      <c r="C33" s="85"/>
      <c r="D33" s="17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05"/>
      <c r="P33" s="112">
        <f t="shared" si="18"/>
        <v>0</v>
      </c>
    </row>
    <row r="34" spans="1:16" s="26" customFormat="1" ht="10.199999999999999" x14ac:dyDescent="0.2">
      <c r="A34" s="97" t="s">
        <v>104</v>
      </c>
      <c r="B34" s="98" t="s">
        <v>105</v>
      </c>
      <c r="C34" s="85">
        <v>2741222</v>
      </c>
      <c r="D34" s="17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05"/>
      <c r="P34" s="112">
        <f t="shared" si="18"/>
        <v>0</v>
      </c>
    </row>
    <row r="35" spans="1:16" s="26" customFormat="1" ht="10.199999999999999" x14ac:dyDescent="0.2">
      <c r="A35" s="97"/>
      <c r="B35" s="98" t="s">
        <v>106</v>
      </c>
      <c r="C35" s="85"/>
      <c r="D35" s="17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05"/>
      <c r="P35" s="112">
        <f t="shared" si="18"/>
        <v>0</v>
      </c>
    </row>
    <row r="36" spans="1:16" s="27" customFormat="1" ht="12" x14ac:dyDescent="0.25">
      <c r="A36" s="99" t="s">
        <v>107</v>
      </c>
      <c r="B36" s="100" t="s">
        <v>108</v>
      </c>
      <c r="C36" s="86">
        <f t="shared" ref="C36" si="19">SUM(C26,C28,C30,C32,C34)</f>
        <v>24208145</v>
      </c>
      <c r="D36" s="180">
        <f t="shared" ref="D36:O36" si="20">SUM(D26,D28,D30,D32,D34)</f>
        <v>150000</v>
      </c>
      <c r="E36" s="15">
        <f t="shared" si="20"/>
        <v>150000</v>
      </c>
      <c r="F36" s="15">
        <f t="shared" si="20"/>
        <v>150000</v>
      </c>
      <c r="G36" s="15">
        <f t="shared" si="20"/>
        <v>690000</v>
      </c>
      <c r="H36" s="15">
        <f t="shared" si="20"/>
        <v>540000</v>
      </c>
      <c r="I36" s="15">
        <f t="shared" si="20"/>
        <v>500000</v>
      </c>
      <c r="J36" s="15">
        <f t="shared" si="20"/>
        <v>470000</v>
      </c>
      <c r="K36" s="15">
        <f t="shared" si="20"/>
        <v>350000</v>
      </c>
      <c r="L36" s="15">
        <f t="shared" si="20"/>
        <v>250000</v>
      </c>
      <c r="M36" s="15">
        <f t="shared" si="20"/>
        <v>250000</v>
      </c>
      <c r="N36" s="15">
        <f t="shared" si="20"/>
        <v>200000</v>
      </c>
      <c r="O36" s="106">
        <f t="shared" si="20"/>
        <v>200000</v>
      </c>
      <c r="P36" s="87">
        <f t="shared" ref="P36" si="21">SUM(P26,P28,P30,P32,P34)</f>
        <v>3900000</v>
      </c>
    </row>
    <row r="37" spans="1:16" s="26" customFormat="1" ht="10.199999999999999" x14ac:dyDescent="0.2">
      <c r="A37" s="97" t="s">
        <v>109</v>
      </c>
      <c r="B37" s="98" t="s">
        <v>110</v>
      </c>
      <c r="C37" s="85"/>
      <c r="D37" s="179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05"/>
      <c r="P37" s="112">
        <f t="shared" ref="P37:P45" si="22">SUM(D37:O37)</f>
        <v>0</v>
      </c>
    </row>
    <row r="38" spans="1:16" s="26" customFormat="1" ht="10.199999999999999" x14ac:dyDescent="0.2">
      <c r="A38" s="97"/>
      <c r="B38" s="98" t="s">
        <v>111</v>
      </c>
      <c r="C38" s="85"/>
      <c r="D38" s="179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05"/>
      <c r="P38" s="112">
        <f t="shared" si="22"/>
        <v>0</v>
      </c>
    </row>
    <row r="39" spans="1:16" s="26" customFormat="1" ht="10.199999999999999" x14ac:dyDescent="0.2">
      <c r="A39" s="97" t="s">
        <v>112</v>
      </c>
      <c r="B39" s="98" t="s">
        <v>113</v>
      </c>
      <c r="C39" s="85"/>
      <c r="D39" s="17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05"/>
      <c r="P39" s="112">
        <f t="shared" si="22"/>
        <v>0</v>
      </c>
    </row>
    <row r="40" spans="1:16" s="26" customFormat="1" ht="10.199999999999999" x14ac:dyDescent="0.2">
      <c r="A40" s="97"/>
      <c r="B40" s="98" t="s">
        <v>114</v>
      </c>
      <c r="C40" s="85"/>
      <c r="D40" s="179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05"/>
      <c r="P40" s="112">
        <f t="shared" si="22"/>
        <v>0</v>
      </c>
    </row>
    <row r="41" spans="1:16" s="26" customFormat="1" ht="10.199999999999999" x14ac:dyDescent="0.2">
      <c r="A41" s="97" t="s">
        <v>115</v>
      </c>
      <c r="B41" s="98" t="s">
        <v>116</v>
      </c>
      <c r="C41" s="85">
        <f>697153+3209820</f>
        <v>3906973</v>
      </c>
      <c r="D41" s="179">
        <v>214198</v>
      </c>
      <c r="E41" s="14">
        <v>214198</v>
      </c>
      <c r="F41" s="14">
        <v>214198</v>
      </c>
      <c r="G41" s="14">
        <v>214198</v>
      </c>
      <c r="H41" s="14">
        <v>214198</v>
      </c>
      <c r="I41" s="14">
        <v>214198</v>
      </c>
      <c r="J41" s="14">
        <v>214198</v>
      </c>
      <c r="K41" s="14">
        <v>214198</v>
      </c>
      <c r="L41" s="14">
        <v>214198</v>
      </c>
      <c r="M41" s="14">
        <v>214198</v>
      </c>
      <c r="N41" s="14">
        <v>214198</v>
      </c>
      <c r="O41" s="105">
        <v>214198</v>
      </c>
      <c r="P41" s="112">
        <f t="shared" si="22"/>
        <v>2570376</v>
      </c>
    </row>
    <row r="42" spans="1:16" s="26" customFormat="1" ht="10.199999999999999" x14ac:dyDescent="0.2">
      <c r="A42" s="97"/>
      <c r="B42" s="98" t="s">
        <v>117</v>
      </c>
      <c r="C42" s="85"/>
      <c r="D42" s="179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05"/>
      <c r="P42" s="112">
        <f t="shared" si="22"/>
        <v>0</v>
      </c>
    </row>
    <row r="43" spans="1:16" s="26" customFormat="1" ht="10.199999999999999" x14ac:dyDescent="0.2">
      <c r="A43" s="97" t="s">
        <v>118</v>
      </c>
      <c r="B43" s="98" t="s">
        <v>119</v>
      </c>
      <c r="C43" s="85"/>
      <c r="D43" s="179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05"/>
      <c r="P43" s="112">
        <f t="shared" si="22"/>
        <v>0</v>
      </c>
    </row>
    <row r="44" spans="1:16" s="26" customFormat="1" ht="10.199999999999999" x14ac:dyDescent="0.2">
      <c r="A44" s="97" t="s">
        <v>120</v>
      </c>
      <c r="B44" s="98" t="s">
        <v>121</v>
      </c>
      <c r="C44" s="85">
        <v>4389548</v>
      </c>
      <c r="D44" s="179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05"/>
      <c r="P44" s="112">
        <f t="shared" si="22"/>
        <v>0</v>
      </c>
    </row>
    <row r="45" spans="1:16" s="26" customFormat="1" ht="10.199999999999999" x14ac:dyDescent="0.2">
      <c r="A45" s="97"/>
      <c r="B45" s="98" t="s">
        <v>122</v>
      </c>
      <c r="C45" s="85"/>
      <c r="D45" s="179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05"/>
      <c r="P45" s="112">
        <f t="shared" si="22"/>
        <v>0</v>
      </c>
    </row>
    <row r="46" spans="1:16" s="27" customFormat="1" ht="12" x14ac:dyDescent="0.25">
      <c r="A46" s="99" t="s">
        <v>123</v>
      </c>
      <c r="B46" s="100" t="s">
        <v>124</v>
      </c>
      <c r="C46" s="87">
        <f t="shared" ref="C46" si="23">SUM(C37,C39,C41,C43,C44)</f>
        <v>8296521</v>
      </c>
      <c r="D46" s="180">
        <f t="shared" ref="D46:O46" si="24">SUM(D37,D39,D41,D43,D44)</f>
        <v>214198</v>
      </c>
      <c r="E46" s="15">
        <f t="shared" si="24"/>
        <v>214198</v>
      </c>
      <c r="F46" s="15">
        <f t="shared" si="24"/>
        <v>214198</v>
      </c>
      <c r="G46" s="15">
        <f t="shared" si="24"/>
        <v>214198</v>
      </c>
      <c r="H46" s="15">
        <f t="shared" si="24"/>
        <v>214198</v>
      </c>
      <c r="I46" s="15">
        <f t="shared" si="24"/>
        <v>214198</v>
      </c>
      <c r="J46" s="15">
        <f t="shared" si="24"/>
        <v>214198</v>
      </c>
      <c r="K46" s="15">
        <f t="shared" si="24"/>
        <v>214198</v>
      </c>
      <c r="L46" s="15">
        <f t="shared" si="24"/>
        <v>214198</v>
      </c>
      <c r="M46" s="15">
        <f t="shared" si="24"/>
        <v>214198</v>
      </c>
      <c r="N46" s="15">
        <f t="shared" si="24"/>
        <v>214198</v>
      </c>
      <c r="O46" s="106">
        <f t="shared" si="24"/>
        <v>214198</v>
      </c>
      <c r="P46" s="87">
        <f t="shared" ref="P46" si="25">SUM(P37,P39,P41,P43,P44)</f>
        <v>2570376</v>
      </c>
    </row>
    <row r="47" spans="1:16" x14ac:dyDescent="0.3">
      <c r="A47" s="101" t="s">
        <v>43</v>
      </c>
      <c r="B47" s="102" t="s">
        <v>125</v>
      </c>
      <c r="C47" s="89">
        <f t="shared" ref="C47" si="26">C36-C46</f>
        <v>15911624</v>
      </c>
      <c r="D47" s="183">
        <f t="shared" ref="D47:O47" si="27">D36-D46</f>
        <v>-64198</v>
      </c>
      <c r="E47" s="16">
        <f t="shared" si="27"/>
        <v>-64198</v>
      </c>
      <c r="F47" s="16">
        <f t="shared" si="27"/>
        <v>-64198</v>
      </c>
      <c r="G47" s="16">
        <f t="shared" si="27"/>
        <v>475802</v>
      </c>
      <c r="H47" s="16">
        <f t="shared" si="27"/>
        <v>325802</v>
      </c>
      <c r="I47" s="16">
        <f t="shared" si="27"/>
        <v>285802</v>
      </c>
      <c r="J47" s="16">
        <f t="shared" si="27"/>
        <v>255802</v>
      </c>
      <c r="K47" s="16">
        <f t="shared" si="27"/>
        <v>135802</v>
      </c>
      <c r="L47" s="16">
        <f t="shared" si="27"/>
        <v>35802</v>
      </c>
      <c r="M47" s="16">
        <f t="shared" si="27"/>
        <v>35802</v>
      </c>
      <c r="N47" s="16">
        <f t="shared" si="27"/>
        <v>-14198</v>
      </c>
      <c r="O47" s="108">
        <f t="shared" si="27"/>
        <v>-14198</v>
      </c>
      <c r="P47" s="89">
        <f t="shared" ref="P47" si="28">P36-P46</f>
        <v>1329624</v>
      </c>
    </row>
    <row r="48" spans="1:16" x14ac:dyDescent="0.3">
      <c r="A48" s="101" t="s">
        <v>46</v>
      </c>
      <c r="B48" s="102" t="s">
        <v>126</v>
      </c>
      <c r="C48" s="89">
        <f t="shared" ref="C48" si="29">+C47+C25</f>
        <v>12730400</v>
      </c>
      <c r="D48" s="183">
        <f t="shared" ref="D48:O48" si="30">+D47+D25</f>
        <v>-42115055</v>
      </c>
      <c r="E48" s="16">
        <f t="shared" si="30"/>
        <v>-29681771</v>
      </c>
      <c r="F48" s="16">
        <f t="shared" si="30"/>
        <v>99497625</v>
      </c>
      <c r="G48" s="16">
        <f t="shared" si="30"/>
        <v>-43195590</v>
      </c>
      <c r="H48" s="16">
        <f t="shared" si="30"/>
        <v>-26574851</v>
      </c>
      <c r="I48" s="16">
        <f t="shared" si="30"/>
        <v>-26346093</v>
      </c>
      <c r="J48" s="16">
        <f t="shared" si="30"/>
        <v>458096444</v>
      </c>
      <c r="K48" s="16">
        <f t="shared" si="30"/>
        <v>-27399101</v>
      </c>
      <c r="L48" s="16">
        <f t="shared" si="30"/>
        <v>-192811698</v>
      </c>
      <c r="M48" s="16">
        <f t="shared" si="30"/>
        <v>-53301068</v>
      </c>
      <c r="N48" s="16">
        <f t="shared" si="30"/>
        <v>-31403661</v>
      </c>
      <c r="O48" s="108">
        <f t="shared" si="30"/>
        <v>-44620954</v>
      </c>
      <c r="P48" s="89">
        <f t="shared" ref="P48" si="31">+P47+P25</f>
        <v>40144227</v>
      </c>
    </row>
    <row r="49" spans="1:16" s="27" customFormat="1" ht="12" x14ac:dyDescent="0.25">
      <c r="A49" s="99" t="s">
        <v>127</v>
      </c>
      <c r="B49" s="100" t="s">
        <v>128</v>
      </c>
      <c r="C49" s="87">
        <v>12437357</v>
      </c>
      <c r="D49" s="184">
        <v>3063949</v>
      </c>
      <c r="E49" s="129">
        <v>3109149</v>
      </c>
      <c r="F49" s="129">
        <v>3224249</v>
      </c>
      <c r="G49" s="129">
        <v>3232819</v>
      </c>
      <c r="H49" s="129">
        <v>3163299</v>
      </c>
      <c r="I49" s="28">
        <v>3504339</v>
      </c>
      <c r="J49" s="28">
        <v>3446819</v>
      </c>
      <c r="K49" s="28">
        <v>3511199</v>
      </c>
      <c r="L49" s="28">
        <v>3449079</v>
      </c>
      <c r="M49" s="28">
        <v>3459149</v>
      </c>
      <c r="N49" s="28">
        <v>3498909</v>
      </c>
      <c r="O49" s="107">
        <v>3469029</v>
      </c>
      <c r="P49" s="87">
        <f t="shared" ref="P49" si="32">SUM(D49:O49)</f>
        <v>40131988</v>
      </c>
    </row>
    <row r="50" spans="1:16" ht="15" thickBot="1" x14ac:dyDescent="0.35">
      <c r="A50" s="103" t="s">
        <v>47</v>
      </c>
      <c r="B50" s="104" t="s">
        <v>129</v>
      </c>
      <c r="C50" s="83">
        <f t="shared" ref="C50" si="33">C48-C49</f>
        <v>293043</v>
      </c>
      <c r="D50" s="185">
        <f t="shared" ref="D50:O50" si="34">D48-D49</f>
        <v>-45179004</v>
      </c>
      <c r="E50" s="186">
        <f t="shared" si="34"/>
        <v>-32790920</v>
      </c>
      <c r="F50" s="186">
        <f t="shared" si="34"/>
        <v>96273376</v>
      </c>
      <c r="G50" s="186">
        <f t="shared" si="34"/>
        <v>-46428409</v>
      </c>
      <c r="H50" s="186">
        <f t="shared" si="34"/>
        <v>-29738150</v>
      </c>
      <c r="I50" s="186">
        <f t="shared" si="34"/>
        <v>-29850432</v>
      </c>
      <c r="J50" s="186">
        <f t="shared" si="34"/>
        <v>454649625</v>
      </c>
      <c r="K50" s="186">
        <f t="shared" si="34"/>
        <v>-30910300</v>
      </c>
      <c r="L50" s="186">
        <f t="shared" si="34"/>
        <v>-196260777</v>
      </c>
      <c r="M50" s="186">
        <f t="shared" si="34"/>
        <v>-56760217</v>
      </c>
      <c r="N50" s="186">
        <f t="shared" si="34"/>
        <v>-34902570</v>
      </c>
      <c r="O50" s="187">
        <f t="shared" si="34"/>
        <v>-48089983</v>
      </c>
      <c r="P50" s="83">
        <f t="shared" ref="P50" si="35">P48-P49</f>
        <v>12239</v>
      </c>
    </row>
    <row r="52" spans="1:16" x14ac:dyDescent="0.3">
      <c r="D52" s="127"/>
      <c r="E52" s="127"/>
      <c r="F52" s="127"/>
      <c r="G52" s="127"/>
      <c r="H52" s="127"/>
      <c r="I52" s="127"/>
    </row>
    <row r="54" spans="1:16" x14ac:dyDescent="0.3">
      <c r="B54" s="12"/>
      <c r="P54" s="12"/>
    </row>
    <row r="56" spans="1:16" x14ac:dyDescent="0.3">
      <c r="G56" s="12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13"/>
  <dimension ref="A1:F114"/>
  <sheetViews>
    <sheetView tabSelected="1" zoomScale="115" zoomScaleNormal="115" workbookViewId="0">
      <pane xSplit="3" ySplit="2" topLeftCell="D14" activePane="bottomRight" state="frozen"/>
      <selection pane="topRight" activeCell="D1" sqref="D1"/>
      <selection pane="bottomLeft" activeCell="A3" sqref="A3"/>
      <selection pane="bottomRight" activeCell="C25" sqref="C25"/>
    </sheetView>
  </sheetViews>
  <sheetFormatPr defaultColWidth="8.59765625" defaultRowHeight="13.8" x14ac:dyDescent="0.3"/>
  <cols>
    <col min="1" max="1" width="5" style="24" customWidth="1"/>
    <col min="2" max="2" width="6.59765625" style="24" customWidth="1"/>
    <col min="3" max="3" width="66.59765625" style="20" bestFit="1" customWidth="1"/>
    <col min="4" max="5" width="16.59765625" style="20" customWidth="1"/>
    <col min="6" max="16384" width="8.59765625" style="20"/>
  </cols>
  <sheetData>
    <row r="1" spans="1:6" ht="21" customHeight="1" x14ac:dyDescent="0.3">
      <c r="A1" s="188"/>
      <c r="B1" s="189"/>
      <c r="C1" s="191" t="s">
        <v>32</v>
      </c>
      <c r="D1" s="231">
        <v>45657</v>
      </c>
      <c r="E1" s="223">
        <v>46022</v>
      </c>
    </row>
    <row r="2" spans="1:6" ht="18.45" customHeight="1" thickBot="1" x14ac:dyDescent="0.35">
      <c r="A2" s="192"/>
      <c r="B2" s="134"/>
      <c r="C2" s="193"/>
      <c r="D2" s="281" t="s">
        <v>130</v>
      </c>
      <c r="E2" s="224" t="s">
        <v>31</v>
      </c>
      <c r="F2" s="20" t="s">
        <v>266</v>
      </c>
    </row>
    <row r="3" spans="1:6" s="12" customFormat="1" ht="14.4" x14ac:dyDescent="0.3">
      <c r="A3" s="220">
        <v>1</v>
      </c>
      <c r="B3" s="221" t="s">
        <v>33</v>
      </c>
      <c r="C3" s="222" t="s">
        <v>34</v>
      </c>
      <c r="D3" s="225">
        <f>SUM(D4,D12,D20,)</f>
        <v>3825700</v>
      </c>
      <c r="E3" s="225">
        <f t="shared" ref="E3" si="0">SUM(E4,E12,E20,)</f>
        <v>5815431</v>
      </c>
    </row>
    <row r="4" spans="1:6" x14ac:dyDescent="0.3">
      <c r="A4" s="195">
        <v>2</v>
      </c>
      <c r="B4" s="22" t="s">
        <v>35</v>
      </c>
      <c r="C4" s="197" t="s">
        <v>36</v>
      </c>
      <c r="D4" s="226">
        <f t="shared" ref="D4:E4" si="1">SUM(D5:D11)</f>
        <v>31400</v>
      </c>
      <c r="E4" s="226">
        <f t="shared" si="1"/>
        <v>21720</v>
      </c>
    </row>
    <row r="5" spans="1:6" x14ac:dyDescent="0.3">
      <c r="A5" s="196">
        <v>3</v>
      </c>
      <c r="B5" s="30"/>
      <c r="C5" s="203" t="s">
        <v>185</v>
      </c>
      <c r="D5" s="227"/>
      <c r="E5" s="227"/>
    </row>
    <row r="6" spans="1:6" x14ac:dyDescent="0.3">
      <c r="A6" s="196">
        <v>4</v>
      </c>
      <c r="B6" s="30"/>
      <c r="C6" s="203" t="s">
        <v>186</v>
      </c>
      <c r="D6" s="227"/>
      <c r="E6" s="227"/>
    </row>
    <row r="7" spans="1:6" x14ac:dyDescent="0.3">
      <c r="A7" s="196">
        <v>5</v>
      </c>
      <c r="B7" s="30"/>
      <c r="C7" s="203" t="s">
        <v>187</v>
      </c>
      <c r="D7" s="227">
        <v>1600</v>
      </c>
      <c r="E7" s="227">
        <v>1106</v>
      </c>
    </row>
    <row r="8" spans="1:6" x14ac:dyDescent="0.3">
      <c r="A8" s="196">
        <v>6</v>
      </c>
      <c r="B8" s="30"/>
      <c r="C8" s="203" t="s">
        <v>188</v>
      </c>
      <c r="D8" s="227">
        <v>29800</v>
      </c>
      <c r="E8" s="227">
        <v>20614</v>
      </c>
    </row>
    <row r="9" spans="1:6" x14ac:dyDescent="0.3">
      <c r="A9" s="196">
        <v>7</v>
      </c>
      <c r="B9" s="30"/>
      <c r="C9" s="203" t="s">
        <v>189</v>
      </c>
      <c r="D9" s="227"/>
      <c r="E9" s="227"/>
    </row>
    <row r="10" spans="1:6" x14ac:dyDescent="0.3">
      <c r="A10" s="196">
        <v>8</v>
      </c>
      <c r="B10" s="30"/>
      <c r="C10" s="203" t="s">
        <v>190</v>
      </c>
      <c r="D10" s="227"/>
      <c r="E10" s="227"/>
    </row>
    <row r="11" spans="1:6" x14ac:dyDescent="0.3">
      <c r="A11" s="196">
        <v>9</v>
      </c>
      <c r="B11" s="30"/>
      <c r="C11" s="203" t="s">
        <v>37</v>
      </c>
      <c r="D11" s="227"/>
      <c r="E11" s="227"/>
    </row>
    <row r="12" spans="1:6" x14ac:dyDescent="0.3">
      <c r="A12" s="195">
        <v>10</v>
      </c>
      <c r="B12" s="22" t="s">
        <v>38</v>
      </c>
      <c r="C12" s="197" t="s">
        <v>39</v>
      </c>
      <c r="D12" s="226">
        <f>SUM(D13:D19)</f>
        <v>3794300</v>
      </c>
      <c r="E12" s="226">
        <f t="shared" ref="E12" si="2">SUM(E13:E19)</f>
        <v>5793711</v>
      </c>
    </row>
    <row r="13" spans="1:6" x14ac:dyDescent="0.3">
      <c r="A13" s="196">
        <v>11</v>
      </c>
      <c r="B13" s="30"/>
      <c r="C13" s="203" t="s">
        <v>171</v>
      </c>
      <c r="D13" s="227">
        <v>2922000</v>
      </c>
      <c r="E13" s="227">
        <f>2922000-12*6200+2199000</f>
        <v>5046600</v>
      </c>
    </row>
    <row r="14" spans="1:6" x14ac:dyDescent="0.3">
      <c r="A14" s="196">
        <v>12</v>
      </c>
      <c r="B14" s="30"/>
      <c r="C14" s="203" t="s">
        <v>172</v>
      </c>
      <c r="D14" s="227">
        <v>210500</v>
      </c>
      <c r="E14" s="227">
        <f>210500-12*2248+508675</f>
        <v>692199</v>
      </c>
    </row>
    <row r="15" spans="1:6" x14ac:dyDescent="0.3">
      <c r="A15" s="196">
        <v>13</v>
      </c>
      <c r="B15" s="30"/>
      <c r="C15" s="203" t="s">
        <v>173</v>
      </c>
      <c r="D15" s="227">
        <v>51800</v>
      </c>
      <c r="E15" s="227">
        <f>51800-12*924</f>
        <v>40712</v>
      </c>
    </row>
    <row r="16" spans="1:6" x14ac:dyDescent="0.3">
      <c r="A16" s="196">
        <v>14</v>
      </c>
      <c r="B16" s="30"/>
      <c r="C16" s="203" t="s">
        <v>174</v>
      </c>
      <c r="D16" s="227"/>
      <c r="E16" s="227"/>
    </row>
    <row r="17" spans="1:5" x14ac:dyDescent="0.3">
      <c r="A17" s="196">
        <v>15</v>
      </c>
      <c r="B17" s="30"/>
      <c r="C17" s="203" t="s">
        <v>175</v>
      </c>
      <c r="D17" s="227">
        <v>160000</v>
      </c>
      <c r="E17" s="227">
        <v>10200</v>
      </c>
    </row>
    <row r="18" spans="1:5" x14ac:dyDescent="0.3">
      <c r="A18" s="196">
        <v>16</v>
      </c>
      <c r="B18" s="30"/>
      <c r="C18" s="203" t="s">
        <v>176</v>
      </c>
      <c r="D18" s="227">
        <v>450000</v>
      </c>
      <c r="E18" s="227">
        <v>4000</v>
      </c>
    </row>
    <row r="19" spans="1:5" x14ac:dyDescent="0.3">
      <c r="A19" s="196">
        <v>17</v>
      </c>
      <c r="B19" s="30"/>
      <c r="C19" s="203" t="s">
        <v>40</v>
      </c>
      <c r="D19" s="227"/>
      <c r="E19" s="227"/>
    </row>
    <row r="20" spans="1:5" x14ac:dyDescent="0.3">
      <c r="A20" s="195">
        <v>18</v>
      </c>
      <c r="B20" s="22" t="s">
        <v>41</v>
      </c>
      <c r="C20" s="197" t="s">
        <v>248</v>
      </c>
      <c r="D20" s="226">
        <f>SUM(D21:D29)</f>
        <v>0</v>
      </c>
      <c r="E20" s="226">
        <f t="shared" ref="E20" si="3">SUM(E21:E29)</f>
        <v>0</v>
      </c>
    </row>
    <row r="21" spans="1:5" x14ac:dyDescent="0.3">
      <c r="A21" s="196">
        <v>19</v>
      </c>
      <c r="B21" s="30"/>
      <c r="C21" s="203" t="s">
        <v>177</v>
      </c>
      <c r="D21" s="227"/>
      <c r="E21" s="227"/>
    </row>
    <row r="22" spans="1:5" x14ac:dyDescent="0.3">
      <c r="A22" s="196">
        <v>20</v>
      </c>
      <c r="B22" s="30"/>
      <c r="C22" s="203" t="s">
        <v>42</v>
      </c>
      <c r="D22" s="227"/>
      <c r="E22" s="227"/>
    </row>
    <row r="23" spans="1:5" x14ac:dyDescent="0.3">
      <c r="A23" s="196">
        <v>21</v>
      </c>
      <c r="B23" s="30"/>
      <c r="C23" s="203" t="s">
        <v>178</v>
      </c>
      <c r="D23" s="227"/>
      <c r="E23" s="227"/>
    </row>
    <row r="24" spans="1:5" x14ac:dyDescent="0.3">
      <c r="A24" s="196">
        <v>22</v>
      </c>
      <c r="B24" s="30"/>
      <c r="C24" s="203" t="s">
        <v>179</v>
      </c>
      <c r="D24" s="227"/>
      <c r="E24" s="227"/>
    </row>
    <row r="25" spans="1:5" x14ac:dyDescent="0.3">
      <c r="A25" s="196">
        <v>23</v>
      </c>
      <c r="B25" s="30"/>
      <c r="C25" s="203" t="s">
        <v>180</v>
      </c>
      <c r="D25" s="227"/>
      <c r="E25" s="227"/>
    </row>
    <row r="26" spans="1:5" x14ac:dyDescent="0.3">
      <c r="A26" s="196">
        <v>24</v>
      </c>
      <c r="B26" s="30"/>
      <c r="C26" s="203" t="s">
        <v>181</v>
      </c>
      <c r="D26" s="227"/>
      <c r="E26" s="227"/>
    </row>
    <row r="27" spans="1:5" x14ac:dyDescent="0.3">
      <c r="A27" s="196">
        <v>25</v>
      </c>
      <c r="B27" s="30"/>
      <c r="C27" s="203" t="s">
        <v>182</v>
      </c>
      <c r="D27" s="227"/>
      <c r="E27" s="227"/>
    </row>
    <row r="28" spans="1:5" x14ac:dyDescent="0.3">
      <c r="A28" s="196">
        <v>26</v>
      </c>
      <c r="B28" s="30"/>
      <c r="C28" s="203" t="s">
        <v>183</v>
      </c>
      <c r="D28" s="227"/>
      <c r="E28" s="227"/>
    </row>
    <row r="29" spans="1:5" x14ac:dyDescent="0.3">
      <c r="A29" s="196">
        <v>27</v>
      </c>
      <c r="B29" s="30"/>
      <c r="C29" s="203" t="s">
        <v>184</v>
      </c>
      <c r="D29" s="227"/>
      <c r="E29" s="227"/>
    </row>
    <row r="30" spans="1:5" s="12" customFormat="1" ht="14.4" x14ac:dyDescent="0.3">
      <c r="A30" s="194">
        <v>28</v>
      </c>
      <c r="B30" s="18" t="s">
        <v>43</v>
      </c>
      <c r="C30" s="202" t="s">
        <v>249</v>
      </c>
      <c r="D30" s="225">
        <f>SUM(D31,D39,D48,D55)</f>
        <v>693680</v>
      </c>
      <c r="E30" s="225">
        <f t="shared" ref="E30" si="4">SUM(E31,E39,E48,E55)</f>
        <v>297408</v>
      </c>
    </row>
    <row r="31" spans="1:5" x14ac:dyDescent="0.3">
      <c r="A31" s="195">
        <v>29</v>
      </c>
      <c r="B31" s="22" t="s">
        <v>35</v>
      </c>
      <c r="C31" s="197" t="s">
        <v>250</v>
      </c>
      <c r="D31" s="226">
        <f>SUM(D32:D38)</f>
        <v>14000</v>
      </c>
      <c r="E31" s="226">
        <f t="shared" ref="E31" si="5">SUM(E32:E38)</f>
        <v>15400</v>
      </c>
    </row>
    <row r="32" spans="1:5" x14ac:dyDescent="0.3">
      <c r="A32" s="196">
        <v>30</v>
      </c>
      <c r="B32" s="30"/>
      <c r="C32" s="203" t="s">
        <v>170</v>
      </c>
      <c r="D32" s="227">
        <v>4000</v>
      </c>
      <c r="E32" s="227">
        <v>4400</v>
      </c>
    </row>
    <row r="33" spans="1:5" x14ac:dyDescent="0.3">
      <c r="A33" s="196">
        <v>31</v>
      </c>
      <c r="B33" s="30"/>
      <c r="C33" s="203" t="s">
        <v>169</v>
      </c>
      <c r="D33" s="227"/>
      <c r="E33" s="227"/>
    </row>
    <row r="34" spans="1:5" x14ac:dyDescent="0.3">
      <c r="A34" s="196">
        <v>32</v>
      </c>
      <c r="B34" s="30"/>
      <c r="C34" s="203" t="s">
        <v>168</v>
      </c>
      <c r="D34" s="227"/>
      <c r="E34" s="227"/>
    </row>
    <row r="35" spans="1:5" x14ac:dyDescent="0.3">
      <c r="A35" s="196">
        <v>33</v>
      </c>
      <c r="B35" s="30"/>
      <c r="C35" s="203" t="s">
        <v>167</v>
      </c>
      <c r="D35" s="227"/>
      <c r="E35" s="227"/>
    </row>
    <row r="36" spans="1:5" x14ac:dyDescent="0.3">
      <c r="A36" s="196">
        <v>34</v>
      </c>
      <c r="B36" s="30"/>
      <c r="C36" s="203" t="s">
        <v>166</v>
      </c>
      <c r="D36" s="227">
        <v>10000</v>
      </c>
      <c r="E36" s="227">
        <v>11000</v>
      </c>
    </row>
    <row r="37" spans="1:5" x14ac:dyDescent="0.3">
      <c r="A37" s="196">
        <v>35</v>
      </c>
      <c r="B37" s="30"/>
      <c r="C37" s="203" t="s">
        <v>165</v>
      </c>
      <c r="D37" s="227"/>
      <c r="E37" s="227"/>
    </row>
    <row r="38" spans="1:5" x14ac:dyDescent="0.3">
      <c r="A38" s="196">
        <v>36</v>
      </c>
      <c r="B38" s="30"/>
      <c r="C38" s="203" t="s">
        <v>164</v>
      </c>
      <c r="D38" s="227"/>
      <c r="E38" s="227"/>
    </row>
    <row r="39" spans="1:5" x14ac:dyDescent="0.3">
      <c r="A39" s="195">
        <v>37</v>
      </c>
      <c r="B39" s="22" t="s">
        <v>38</v>
      </c>
      <c r="C39" s="197" t="s">
        <v>251</v>
      </c>
      <c r="D39" s="226">
        <f>SUM(D40:D47)</f>
        <v>93800</v>
      </c>
      <c r="E39" s="226">
        <f t="shared" ref="E39" si="6">SUM(E40:E47)</f>
        <v>100100</v>
      </c>
    </row>
    <row r="40" spans="1:5" x14ac:dyDescent="0.3">
      <c r="A40" s="196">
        <v>38</v>
      </c>
      <c r="B40" s="30"/>
      <c r="C40" s="203" t="s">
        <v>44</v>
      </c>
      <c r="D40" s="227">
        <v>34000</v>
      </c>
      <c r="E40" s="227">
        <v>35500</v>
      </c>
    </row>
    <row r="41" spans="1:5" x14ac:dyDescent="0.3">
      <c r="A41" s="196">
        <v>39</v>
      </c>
      <c r="B41" s="30"/>
      <c r="C41" s="203" t="s">
        <v>191</v>
      </c>
      <c r="D41" s="227"/>
      <c r="E41" s="227"/>
    </row>
    <row r="42" spans="1:5" x14ac:dyDescent="0.3">
      <c r="A42" s="196">
        <v>40</v>
      </c>
      <c r="B42" s="30"/>
      <c r="C42" s="203" t="s">
        <v>193</v>
      </c>
      <c r="D42" s="227"/>
      <c r="E42" s="227"/>
    </row>
    <row r="43" spans="1:5" x14ac:dyDescent="0.3">
      <c r="A43" s="196">
        <v>41</v>
      </c>
      <c r="B43" s="30"/>
      <c r="C43" s="203" t="s">
        <v>192</v>
      </c>
      <c r="D43" s="227"/>
      <c r="E43" s="227"/>
    </row>
    <row r="44" spans="1:5" x14ac:dyDescent="0.3">
      <c r="A44" s="196">
        <v>42</v>
      </c>
      <c r="B44" s="30"/>
      <c r="C44" s="203" t="s">
        <v>194</v>
      </c>
      <c r="D44" s="227"/>
      <c r="E44" s="227"/>
    </row>
    <row r="45" spans="1:5" x14ac:dyDescent="0.3">
      <c r="A45" s="196">
        <v>43</v>
      </c>
      <c r="B45" s="30"/>
      <c r="C45" s="203" t="s">
        <v>195</v>
      </c>
      <c r="D45" s="227">
        <v>59800</v>
      </c>
      <c r="E45" s="227">
        <v>64600</v>
      </c>
    </row>
    <row r="46" spans="1:5" x14ac:dyDescent="0.3">
      <c r="A46" s="196">
        <v>44</v>
      </c>
      <c r="B46" s="30"/>
      <c r="C46" s="203" t="s">
        <v>196</v>
      </c>
      <c r="D46" s="227"/>
      <c r="E46" s="227"/>
    </row>
    <row r="47" spans="1:5" x14ac:dyDescent="0.3">
      <c r="A47" s="196">
        <v>45</v>
      </c>
      <c r="B47" s="30"/>
      <c r="C47" s="203" t="s">
        <v>197</v>
      </c>
      <c r="D47" s="227"/>
      <c r="E47" s="227"/>
    </row>
    <row r="48" spans="1:5" x14ac:dyDescent="0.3">
      <c r="A48" s="195">
        <v>46</v>
      </c>
      <c r="B48" s="22" t="s">
        <v>41</v>
      </c>
      <c r="C48" s="197" t="s">
        <v>252</v>
      </c>
      <c r="D48" s="226">
        <f>SUM(D49:D54)</f>
        <v>0</v>
      </c>
      <c r="E48" s="226">
        <f t="shared" ref="E48" si="7">SUM(E49:E54)</f>
        <v>0</v>
      </c>
    </row>
    <row r="49" spans="1:6" x14ac:dyDescent="0.3">
      <c r="A49" s="196">
        <v>47</v>
      </c>
      <c r="B49" s="30"/>
      <c r="C49" s="203" t="s">
        <v>198</v>
      </c>
      <c r="D49" s="227"/>
      <c r="E49" s="227"/>
    </row>
    <row r="50" spans="1:6" x14ac:dyDescent="0.3">
      <c r="A50" s="196">
        <v>48</v>
      </c>
      <c r="B50" s="30"/>
      <c r="C50" s="203" t="s">
        <v>199</v>
      </c>
      <c r="D50" s="227"/>
      <c r="E50" s="227"/>
    </row>
    <row r="51" spans="1:6" x14ac:dyDescent="0.3">
      <c r="A51" s="196">
        <v>49</v>
      </c>
      <c r="B51" s="30"/>
      <c r="C51" s="203" t="s">
        <v>200</v>
      </c>
      <c r="D51" s="227"/>
      <c r="E51" s="227"/>
    </row>
    <row r="52" spans="1:6" x14ac:dyDescent="0.3">
      <c r="A52" s="196">
        <v>50</v>
      </c>
      <c r="B52" s="30"/>
      <c r="C52" s="203" t="s">
        <v>201</v>
      </c>
      <c r="D52" s="227"/>
      <c r="E52" s="227"/>
    </row>
    <row r="53" spans="1:6" x14ac:dyDescent="0.3">
      <c r="A53" s="196">
        <v>51</v>
      </c>
      <c r="B53" s="30"/>
      <c r="C53" s="203" t="s">
        <v>202</v>
      </c>
      <c r="D53" s="227"/>
      <c r="E53" s="227"/>
    </row>
    <row r="54" spans="1:6" x14ac:dyDescent="0.3">
      <c r="A54" s="196">
        <v>52</v>
      </c>
      <c r="B54" s="30"/>
      <c r="C54" s="203" t="s">
        <v>203</v>
      </c>
      <c r="D54" s="227"/>
      <c r="E54" s="227"/>
    </row>
    <row r="55" spans="1:6" x14ac:dyDescent="0.3">
      <c r="A55" s="195">
        <v>53</v>
      </c>
      <c r="B55" s="22" t="s">
        <v>45</v>
      </c>
      <c r="C55" s="197" t="s">
        <v>253</v>
      </c>
      <c r="D55" s="226">
        <f>SUM(D56:D57)</f>
        <v>585880</v>
      </c>
      <c r="E55" s="226">
        <f>SUM(E56:E57)</f>
        <v>181908</v>
      </c>
    </row>
    <row r="56" spans="1:6" x14ac:dyDescent="0.3">
      <c r="A56" s="196">
        <v>54</v>
      </c>
      <c r="B56" s="30"/>
      <c r="C56" s="203" t="s">
        <v>204</v>
      </c>
      <c r="D56" s="227">
        <v>1000</v>
      </c>
      <c r="E56" s="227">
        <v>1000</v>
      </c>
    </row>
    <row r="57" spans="1:6" x14ac:dyDescent="0.3">
      <c r="A57" s="196">
        <v>55</v>
      </c>
      <c r="B57" s="30"/>
      <c r="C57" s="203" t="s">
        <v>205</v>
      </c>
      <c r="D57" s="227">
        <v>584880</v>
      </c>
      <c r="E57" s="227">
        <v>180908</v>
      </c>
      <c r="F57" s="124"/>
    </row>
    <row r="58" spans="1:6" s="12" customFormat="1" ht="14.4" x14ac:dyDescent="0.3">
      <c r="A58" s="194">
        <v>56</v>
      </c>
      <c r="B58" s="18" t="s">
        <v>46</v>
      </c>
      <c r="C58" s="202" t="s">
        <v>254</v>
      </c>
      <c r="D58" s="225">
        <f>SUM(D59:D61)</f>
        <v>4500</v>
      </c>
      <c r="E58" s="225">
        <f t="shared" ref="E58" si="8">SUM(E59:E61)</f>
        <v>5300</v>
      </c>
    </row>
    <row r="59" spans="1:6" x14ac:dyDescent="0.3">
      <c r="A59" s="196">
        <v>57</v>
      </c>
      <c r="B59" s="30"/>
      <c r="C59" s="203" t="s">
        <v>206</v>
      </c>
      <c r="D59" s="227"/>
      <c r="E59" s="227"/>
    </row>
    <row r="60" spans="1:6" x14ac:dyDescent="0.3">
      <c r="A60" s="196">
        <v>58</v>
      </c>
      <c r="B60" s="30"/>
      <c r="C60" s="203" t="s">
        <v>207</v>
      </c>
      <c r="D60" s="227">
        <v>4500</v>
      </c>
      <c r="E60" s="227">
        <v>5300</v>
      </c>
    </row>
    <row r="61" spans="1:6" x14ac:dyDescent="0.3">
      <c r="A61" s="196">
        <v>59</v>
      </c>
      <c r="B61" s="30"/>
      <c r="C61" s="203" t="s">
        <v>208</v>
      </c>
      <c r="D61" s="227"/>
      <c r="E61" s="227"/>
    </row>
    <row r="62" spans="1:6" x14ac:dyDescent="0.3">
      <c r="A62" s="198">
        <v>60</v>
      </c>
      <c r="B62" s="23"/>
      <c r="C62" s="204" t="s">
        <v>255</v>
      </c>
      <c r="D62" s="228">
        <f>SUM(D3,D30,D58)</f>
        <v>4523880</v>
      </c>
      <c r="E62" s="228">
        <f t="shared" ref="E62" si="9">SUM(E3,E30,E58)</f>
        <v>6118139</v>
      </c>
    </row>
    <row r="63" spans="1:6" s="12" customFormat="1" ht="14.4" x14ac:dyDescent="0.3">
      <c r="A63" s="199">
        <v>61</v>
      </c>
      <c r="B63" s="19" t="s">
        <v>47</v>
      </c>
      <c r="C63" s="205" t="s">
        <v>256</v>
      </c>
      <c r="D63" s="229">
        <f>SUM(D64,D66,D67,D68,D69,D70,D71)</f>
        <v>1139376</v>
      </c>
      <c r="E63" s="229">
        <f>SUM(E64,E66,E67,E68,E69,E70,E71)</f>
        <v>1139107</v>
      </c>
    </row>
    <row r="64" spans="1:6" x14ac:dyDescent="0.3">
      <c r="A64" s="196">
        <v>62</v>
      </c>
      <c r="B64" s="30"/>
      <c r="C64" s="203" t="s">
        <v>209</v>
      </c>
      <c r="D64" s="227">
        <v>53000</v>
      </c>
      <c r="E64" s="227">
        <v>53000</v>
      </c>
    </row>
    <row r="65" spans="1:5" x14ac:dyDescent="0.3">
      <c r="A65" s="196">
        <v>63</v>
      </c>
      <c r="B65" s="30"/>
      <c r="C65" s="203" t="s">
        <v>210</v>
      </c>
      <c r="D65" s="227"/>
      <c r="E65" s="227"/>
    </row>
    <row r="66" spans="1:5" x14ac:dyDescent="0.3">
      <c r="A66" s="196">
        <v>64</v>
      </c>
      <c r="B66" s="30"/>
      <c r="C66" s="203" t="s">
        <v>211</v>
      </c>
      <c r="D66" s="227"/>
      <c r="E66" s="227"/>
    </row>
    <row r="67" spans="1:5" x14ac:dyDescent="0.3">
      <c r="A67" s="196">
        <v>65</v>
      </c>
      <c r="B67" s="30"/>
      <c r="C67" s="203" t="s">
        <v>212</v>
      </c>
      <c r="D67" s="227">
        <v>1072500</v>
      </c>
      <c r="E67" s="227">
        <v>1072500</v>
      </c>
    </row>
    <row r="68" spans="1:5" x14ac:dyDescent="0.3">
      <c r="A68" s="196">
        <v>66</v>
      </c>
      <c r="B68" s="30"/>
      <c r="C68" s="203" t="s">
        <v>213</v>
      </c>
      <c r="D68" s="227">
        <f>13290+ROUND('EK terv'!C50/1000,0)</f>
        <v>13583</v>
      </c>
      <c r="E68" s="227">
        <f>D68+ROUND('EK terv'!P50/1000,0)</f>
        <v>13595</v>
      </c>
    </row>
    <row r="69" spans="1:5" x14ac:dyDescent="0.3">
      <c r="A69" s="196">
        <v>67</v>
      </c>
      <c r="B69" s="30"/>
      <c r="C69" s="203" t="s">
        <v>214</v>
      </c>
      <c r="D69" s="227"/>
      <c r="E69" s="227"/>
    </row>
    <row r="70" spans="1:5" x14ac:dyDescent="0.3">
      <c r="A70" s="196">
        <v>68</v>
      </c>
      <c r="B70" s="30"/>
      <c r="C70" s="203" t="s">
        <v>215</v>
      </c>
      <c r="D70" s="227"/>
      <c r="E70" s="227"/>
    </row>
    <row r="71" spans="1:5" x14ac:dyDescent="0.3">
      <c r="A71" s="196">
        <v>69</v>
      </c>
      <c r="B71" s="30"/>
      <c r="C71" s="203" t="s">
        <v>216</v>
      </c>
      <c r="D71" s="227">
        <f>ROUND('EK terv'!C50/1000,0)</f>
        <v>293</v>
      </c>
      <c r="E71" s="227">
        <f>ROUND('EK terv'!P50/1000,0)</f>
        <v>12</v>
      </c>
    </row>
    <row r="72" spans="1:5" s="12" customFormat="1" ht="14.4" x14ac:dyDescent="0.3">
      <c r="A72" s="194">
        <v>70</v>
      </c>
      <c r="B72" s="18" t="s">
        <v>48</v>
      </c>
      <c r="C72" s="202" t="s">
        <v>257</v>
      </c>
      <c r="D72" s="225">
        <f>SUM(D73:D75)</f>
        <v>0</v>
      </c>
      <c r="E72" s="225">
        <f t="shared" ref="E72" si="10">SUM(E73:E75)</f>
        <v>0</v>
      </c>
    </row>
    <row r="73" spans="1:5" x14ac:dyDescent="0.3">
      <c r="A73" s="196">
        <v>71</v>
      </c>
      <c r="B73" s="30"/>
      <c r="C73" s="203" t="s">
        <v>217</v>
      </c>
      <c r="D73" s="227"/>
      <c r="E73" s="227"/>
    </row>
    <row r="74" spans="1:5" x14ac:dyDescent="0.3">
      <c r="A74" s="196">
        <v>72</v>
      </c>
      <c r="B74" s="30"/>
      <c r="C74" s="203" t="s">
        <v>218</v>
      </c>
      <c r="D74" s="227"/>
      <c r="E74" s="227"/>
    </row>
    <row r="75" spans="1:5" x14ac:dyDescent="0.3">
      <c r="A75" s="196">
        <v>73</v>
      </c>
      <c r="B75" s="30"/>
      <c r="C75" s="203" t="s">
        <v>219</v>
      </c>
      <c r="D75" s="227"/>
      <c r="E75" s="227"/>
    </row>
    <row r="76" spans="1:5" s="12" customFormat="1" ht="14.4" x14ac:dyDescent="0.3">
      <c r="A76" s="194">
        <v>74</v>
      </c>
      <c r="B76" s="18" t="s">
        <v>49</v>
      </c>
      <c r="C76" s="202" t="s">
        <v>258</v>
      </c>
      <c r="D76" s="225">
        <f>SUM(D77,D82,D92)</f>
        <v>2122500</v>
      </c>
      <c r="E76" s="225">
        <f t="shared" ref="E76" si="11">SUM(E77,E82,E92)</f>
        <v>2105418</v>
      </c>
    </row>
    <row r="77" spans="1:5" x14ac:dyDescent="0.3">
      <c r="A77" s="195">
        <v>75</v>
      </c>
      <c r="B77" s="22" t="s">
        <v>35</v>
      </c>
      <c r="C77" s="197" t="s">
        <v>259</v>
      </c>
      <c r="D77" s="226">
        <f>SUM(D78:D81)</f>
        <v>0</v>
      </c>
      <c r="E77" s="226">
        <f t="shared" ref="E77" si="12">SUM(E78:E81)</f>
        <v>0</v>
      </c>
    </row>
    <row r="78" spans="1:5" x14ac:dyDescent="0.3">
      <c r="A78" s="196">
        <v>76</v>
      </c>
      <c r="B78" s="30"/>
      <c r="C78" s="203" t="s">
        <v>220</v>
      </c>
      <c r="D78" s="227"/>
      <c r="E78" s="227"/>
    </row>
    <row r="79" spans="1:5" x14ac:dyDescent="0.3">
      <c r="A79" s="196">
        <v>77</v>
      </c>
      <c r="B79" s="30"/>
      <c r="C79" s="203" t="s">
        <v>221</v>
      </c>
      <c r="D79" s="227"/>
      <c r="E79" s="227"/>
    </row>
    <row r="80" spans="1:5" x14ac:dyDescent="0.3">
      <c r="A80" s="196">
        <v>78</v>
      </c>
      <c r="B80" s="30"/>
      <c r="C80" s="203" t="s">
        <v>222</v>
      </c>
      <c r="D80" s="227"/>
      <c r="E80" s="227"/>
    </row>
    <row r="81" spans="1:5" x14ac:dyDescent="0.3">
      <c r="A81" s="196">
        <v>79</v>
      </c>
      <c r="B81" s="30"/>
      <c r="C81" s="203" t="s">
        <v>223</v>
      </c>
      <c r="D81" s="227"/>
      <c r="E81" s="227"/>
    </row>
    <row r="82" spans="1:5" x14ac:dyDescent="0.3">
      <c r="A82" s="195">
        <v>80</v>
      </c>
      <c r="B82" s="22" t="s">
        <v>38</v>
      </c>
      <c r="C82" s="197" t="s">
        <v>260</v>
      </c>
      <c r="D82" s="226">
        <f>SUM(D83:D91)</f>
        <v>2010000</v>
      </c>
      <c r="E82" s="226">
        <f t="shared" ref="E82" si="13">SUM(E83:E91)</f>
        <v>1982918</v>
      </c>
    </row>
    <row r="83" spans="1:5" x14ac:dyDescent="0.3">
      <c r="A83" s="196">
        <v>81</v>
      </c>
      <c r="B83" s="30"/>
      <c r="C83" s="203" t="s">
        <v>224</v>
      </c>
      <c r="D83" s="227"/>
      <c r="E83" s="227"/>
    </row>
    <row r="84" spans="1:5" x14ac:dyDescent="0.3">
      <c r="A84" s="196">
        <v>82</v>
      </c>
      <c r="B84" s="30"/>
      <c r="C84" s="203" t="s">
        <v>225</v>
      </c>
      <c r="D84" s="227"/>
      <c r="E84" s="227"/>
    </row>
    <row r="85" spans="1:5" x14ac:dyDescent="0.3">
      <c r="A85" s="196">
        <v>83</v>
      </c>
      <c r="B85" s="30"/>
      <c r="C85" s="203" t="s">
        <v>226</v>
      </c>
      <c r="D85" s="227"/>
      <c r="E85" s="227"/>
    </row>
    <row r="86" spans="1:5" x14ac:dyDescent="0.3">
      <c r="A86" s="196">
        <v>84</v>
      </c>
      <c r="B86" s="30"/>
      <c r="C86" s="203" t="s">
        <v>227</v>
      </c>
      <c r="D86" s="227"/>
      <c r="E86" s="227"/>
    </row>
    <row r="87" spans="1:5" x14ac:dyDescent="0.3">
      <c r="A87" s="196">
        <v>85</v>
      </c>
      <c r="B87" s="30"/>
      <c r="C87" s="203" t="s">
        <v>228</v>
      </c>
      <c r="D87" s="227"/>
      <c r="E87" s="227"/>
    </row>
    <row r="88" spans="1:5" x14ac:dyDescent="0.3">
      <c r="A88" s="196">
        <v>86</v>
      </c>
      <c r="B88" s="30"/>
      <c r="C88" s="203" t="s">
        <v>229</v>
      </c>
      <c r="D88" s="227"/>
      <c r="E88" s="227"/>
    </row>
    <row r="89" spans="1:5" x14ac:dyDescent="0.3">
      <c r="A89" s="196">
        <v>87</v>
      </c>
      <c r="B89" s="30"/>
      <c r="C89" s="203" t="s">
        <v>230</v>
      </c>
      <c r="D89" s="227"/>
      <c r="E89" s="227"/>
    </row>
    <row r="90" spans="1:5" x14ac:dyDescent="0.3">
      <c r="A90" s="196">
        <v>88</v>
      </c>
      <c r="B90" s="30"/>
      <c r="C90" s="203" t="s">
        <v>231</v>
      </c>
      <c r="D90" s="227"/>
      <c r="E90" s="227"/>
    </row>
    <row r="91" spans="1:5" x14ac:dyDescent="0.3">
      <c r="A91" s="196">
        <v>89</v>
      </c>
      <c r="B91" s="30"/>
      <c r="C91" s="203" t="s">
        <v>232</v>
      </c>
      <c r="D91" s="227">
        <v>2010000</v>
      </c>
      <c r="E91" s="227">
        <f>D91-15632-3072-3143-5235</f>
        <v>1982918</v>
      </c>
    </row>
    <row r="92" spans="1:5" x14ac:dyDescent="0.3">
      <c r="A92" s="195">
        <v>90</v>
      </c>
      <c r="B92" s="22" t="s">
        <v>41</v>
      </c>
      <c r="C92" s="197" t="s">
        <v>261</v>
      </c>
      <c r="D92" s="226">
        <f>SUM(D93:D104)</f>
        <v>112500</v>
      </c>
      <c r="E92" s="226">
        <f t="shared" ref="E92" si="14">SUM(E93:E104)</f>
        <v>122500</v>
      </c>
    </row>
    <row r="93" spans="1:5" x14ac:dyDescent="0.3">
      <c r="A93" s="196">
        <v>91</v>
      </c>
      <c r="B93" s="30"/>
      <c r="C93" s="203" t="s">
        <v>233</v>
      </c>
      <c r="D93" s="227"/>
      <c r="E93" s="227"/>
    </row>
    <row r="94" spans="1:5" x14ac:dyDescent="0.3">
      <c r="A94" s="196">
        <v>92</v>
      </c>
      <c r="B94" s="30"/>
      <c r="C94" s="203" t="s">
        <v>234</v>
      </c>
      <c r="D94" s="227"/>
      <c r="E94" s="227"/>
    </row>
    <row r="95" spans="1:5" x14ac:dyDescent="0.3">
      <c r="A95" s="196">
        <v>93</v>
      </c>
      <c r="B95" s="30"/>
      <c r="C95" s="203" t="s">
        <v>235</v>
      </c>
      <c r="D95" s="227"/>
      <c r="E95" s="227"/>
    </row>
    <row r="96" spans="1:5" x14ac:dyDescent="0.3">
      <c r="A96" s="196">
        <v>94</v>
      </c>
      <c r="B96" s="30"/>
      <c r="C96" s="203" t="s">
        <v>236</v>
      </c>
      <c r="D96" s="227">
        <v>5000</v>
      </c>
      <c r="E96" s="227">
        <v>5000</v>
      </c>
    </row>
    <row r="97" spans="1:5" x14ac:dyDescent="0.3">
      <c r="A97" s="196">
        <v>95</v>
      </c>
      <c r="B97" s="30"/>
      <c r="C97" s="203" t="s">
        <v>237</v>
      </c>
      <c r="D97" s="227">
        <v>53500</v>
      </c>
      <c r="E97" s="227">
        <v>55900</v>
      </c>
    </row>
    <row r="98" spans="1:5" x14ac:dyDescent="0.3">
      <c r="A98" s="196">
        <v>96</v>
      </c>
      <c r="B98" s="30"/>
      <c r="C98" s="203" t="s">
        <v>238</v>
      </c>
      <c r="D98" s="227"/>
      <c r="E98" s="227"/>
    </row>
    <row r="99" spans="1:5" x14ac:dyDescent="0.3">
      <c r="A99" s="196">
        <v>97</v>
      </c>
      <c r="B99" s="30"/>
      <c r="C99" s="203" t="s">
        <v>239</v>
      </c>
      <c r="D99" s="227"/>
      <c r="E99" s="227"/>
    </row>
    <row r="100" spans="1:5" x14ac:dyDescent="0.3">
      <c r="A100" s="196">
        <v>98</v>
      </c>
      <c r="B100" s="30"/>
      <c r="C100" s="203" t="s">
        <v>240</v>
      </c>
      <c r="D100" s="227"/>
      <c r="E100" s="227"/>
    </row>
    <row r="101" spans="1:5" x14ac:dyDescent="0.3">
      <c r="A101" s="196">
        <v>99</v>
      </c>
      <c r="B101" s="30"/>
      <c r="C101" s="203" t="s">
        <v>241</v>
      </c>
      <c r="D101" s="227"/>
      <c r="E101" s="227"/>
    </row>
    <row r="102" spans="1:5" x14ac:dyDescent="0.3">
      <c r="A102" s="196">
        <v>100</v>
      </c>
      <c r="B102" s="30"/>
      <c r="C102" s="203" t="s">
        <v>242</v>
      </c>
      <c r="D102" s="227">
        <v>54000</v>
      </c>
      <c r="E102" s="227">
        <v>61600</v>
      </c>
    </row>
    <row r="103" spans="1:5" x14ac:dyDescent="0.3">
      <c r="A103" s="196">
        <v>101</v>
      </c>
      <c r="B103" s="30"/>
      <c r="C103" s="203" t="s">
        <v>243</v>
      </c>
      <c r="D103" s="227"/>
      <c r="E103" s="227"/>
    </row>
    <row r="104" spans="1:5" x14ac:dyDescent="0.3">
      <c r="A104" s="196">
        <v>102</v>
      </c>
      <c r="B104" s="30"/>
      <c r="C104" s="203" t="s">
        <v>244</v>
      </c>
      <c r="D104" s="227"/>
      <c r="E104" s="227"/>
    </row>
    <row r="105" spans="1:5" s="12" customFormat="1" ht="14.4" x14ac:dyDescent="0.3">
      <c r="A105" s="194">
        <v>103</v>
      </c>
      <c r="B105" s="18" t="s">
        <v>50</v>
      </c>
      <c r="C105" s="202" t="s">
        <v>51</v>
      </c>
      <c r="D105" s="225">
        <f>SUM(D106:D108)</f>
        <v>1262004</v>
      </c>
      <c r="E105" s="225">
        <f t="shared" ref="E105" si="15">SUM(E106:E108)</f>
        <v>2873614</v>
      </c>
    </row>
    <row r="106" spans="1:5" x14ac:dyDescent="0.3">
      <c r="A106" s="196">
        <v>104</v>
      </c>
      <c r="B106" s="30" t="s">
        <v>52</v>
      </c>
      <c r="C106" s="203" t="s">
        <v>245</v>
      </c>
      <c r="D106" s="227">
        <v>5000</v>
      </c>
      <c r="E106" s="227">
        <v>5500</v>
      </c>
    </row>
    <row r="107" spans="1:5" x14ac:dyDescent="0.3">
      <c r="A107" s="196">
        <v>105</v>
      </c>
      <c r="B107" s="30"/>
      <c r="C107" s="203" t="s">
        <v>246</v>
      </c>
      <c r="D107" s="227">
        <v>1000</v>
      </c>
      <c r="E107" s="227">
        <v>1500</v>
      </c>
    </row>
    <row r="108" spans="1:5" x14ac:dyDescent="0.3">
      <c r="A108" s="196">
        <v>106</v>
      </c>
      <c r="B108" s="30"/>
      <c r="C108" s="203" t="s">
        <v>247</v>
      </c>
      <c r="D108" s="227">
        <f>250000+90000+916004</f>
        <v>1256004</v>
      </c>
      <c r="E108" s="227">
        <f>D108+2000000*0.85-89390</f>
        <v>2866614</v>
      </c>
    </row>
    <row r="109" spans="1:5" ht="14.4" thickBot="1" x14ac:dyDescent="0.35">
      <c r="A109" s="200">
        <v>107</v>
      </c>
      <c r="B109" s="201"/>
      <c r="C109" s="206" t="s">
        <v>262</v>
      </c>
      <c r="D109" s="230">
        <f>SUM(D63,D72,D76,D105)</f>
        <v>4523880</v>
      </c>
      <c r="E109" s="230">
        <f t="shared" ref="E109" si="16">SUM(E63,E72,E76,E105)</f>
        <v>6118139</v>
      </c>
    </row>
    <row r="110" spans="1:5" x14ac:dyDescent="0.3">
      <c r="D110" s="289"/>
      <c r="E110" s="289"/>
    </row>
    <row r="111" spans="1:5" x14ac:dyDescent="0.3">
      <c r="D111" s="289"/>
      <c r="E111" s="290"/>
    </row>
    <row r="112" spans="1:5" x14ac:dyDescent="0.3">
      <c r="E112" s="124"/>
    </row>
    <row r="114" spans="5:5" x14ac:dyDescent="0.3">
      <c r="E114" s="124"/>
    </row>
  </sheetData>
  <pageMargins left="0.7" right="0.7" top="0.75" bottom="0.75" header="0.3" footer="0.3"/>
  <ignoredErrors>
    <ignoredError sqref="D108:E108 D71:E71 D68:E68 E13:E15 E9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P17"/>
  <sheetViews>
    <sheetView showGridLines="0" zoomScale="90" zoomScaleNormal="90" workbookViewId="0">
      <selection activeCell="I6" sqref="I6"/>
    </sheetView>
  </sheetViews>
  <sheetFormatPr defaultRowHeight="13.8" outlineLevelCol="1" x14ac:dyDescent="0.25"/>
  <cols>
    <col min="2" max="2" width="28.3984375" bestFit="1" customWidth="1"/>
    <col min="3" max="3" width="19.19921875" customWidth="1" outlineLevel="1"/>
    <col min="4" max="4" width="18.796875" customWidth="1" outlineLevel="1" collapsed="1"/>
    <col min="5" max="15" width="18.796875" customWidth="1" outlineLevel="1"/>
    <col min="16" max="16" width="17.796875" customWidth="1"/>
  </cols>
  <sheetData>
    <row r="1" spans="2:16" ht="14.4" thickBot="1" x14ac:dyDescent="0.3">
      <c r="P1" s="94"/>
    </row>
    <row r="2" spans="2:16" ht="13.5" customHeight="1" x14ac:dyDescent="0.25">
      <c r="B2" s="209" t="s">
        <v>270</v>
      </c>
      <c r="C2" s="231">
        <v>45657</v>
      </c>
      <c r="D2" s="190" t="s">
        <v>353</v>
      </c>
      <c r="E2" s="190" t="s">
        <v>354</v>
      </c>
      <c r="F2" s="190" t="s">
        <v>355</v>
      </c>
      <c r="G2" s="190" t="s">
        <v>356</v>
      </c>
      <c r="H2" s="190" t="s">
        <v>357</v>
      </c>
      <c r="I2" s="190" t="s">
        <v>358</v>
      </c>
      <c r="J2" s="190" t="s">
        <v>359</v>
      </c>
      <c r="K2" s="190" t="s">
        <v>360</v>
      </c>
      <c r="L2" s="190" t="s">
        <v>361</v>
      </c>
      <c r="M2" s="190" t="s">
        <v>362</v>
      </c>
      <c r="N2" s="190" t="s">
        <v>365</v>
      </c>
      <c r="O2" s="190" t="s">
        <v>364</v>
      </c>
      <c r="P2" s="207" t="s">
        <v>366</v>
      </c>
    </row>
    <row r="3" spans="2:16" ht="14.4" thickBot="1" x14ac:dyDescent="0.3">
      <c r="B3" s="210"/>
      <c r="C3" s="232" t="s">
        <v>130</v>
      </c>
      <c r="D3" s="21" t="s">
        <v>31</v>
      </c>
      <c r="E3" s="21" t="s">
        <v>31</v>
      </c>
      <c r="F3" s="21" t="s">
        <v>31</v>
      </c>
      <c r="G3" s="21" t="s">
        <v>31</v>
      </c>
      <c r="H3" s="21" t="s">
        <v>31</v>
      </c>
      <c r="I3" s="21" t="s">
        <v>31</v>
      </c>
      <c r="J3" s="21" t="s">
        <v>31</v>
      </c>
      <c r="K3" s="21" t="s">
        <v>31</v>
      </c>
      <c r="L3" s="21" t="s">
        <v>31</v>
      </c>
      <c r="M3" s="21" t="s">
        <v>31</v>
      </c>
      <c r="N3" s="21" t="s">
        <v>31</v>
      </c>
      <c r="O3" s="21" t="s">
        <v>31</v>
      </c>
      <c r="P3" s="208" t="s">
        <v>31</v>
      </c>
    </row>
    <row r="4" spans="2:16" ht="16.05" customHeight="1" x14ac:dyDescent="0.25">
      <c r="B4" s="211" t="s">
        <v>298</v>
      </c>
      <c r="C4" s="215">
        <v>160000000</v>
      </c>
      <c r="D4" s="80">
        <v>116902000</v>
      </c>
      <c r="E4" s="80">
        <v>263000000</v>
      </c>
      <c r="F4" s="79">
        <v>77600000</v>
      </c>
      <c r="G4" s="80">
        <v>153940000</v>
      </c>
      <c r="H4" s="79">
        <v>170450000</v>
      </c>
      <c r="I4" s="80">
        <v>264600000</v>
      </c>
      <c r="J4" s="79">
        <v>308000000</v>
      </c>
      <c r="K4" s="80">
        <v>268000000</v>
      </c>
      <c r="L4" s="79">
        <v>505000000</v>
      </c>
      <c r="M4" s="80">
        <v>252000000</v>
      </c>
      <c r="N4" s="79">
        <v>254600000</v>
      </c>
      <c r="O4" s="80">
        <v>100000000</v>
      </c>
      <c r="P4" s="111">
        <f>SUM(D4:O4)</f>
        <v>2734092000</v>
      </c>
    </row>
    <row r="5" spans="2:16" ht="16.05" customHeight="1" x14ac:dyDescent="0.25">
      <c r="B5" s="212" t="s">
        <v>299</v>
      </c>
      <c r="C5" s="216">
        <f>IFERROR('Mérleg terv'!$D$30/'Mérleg terv'!$D$92,0)</f>
        <v>6.1660444444444442</v>
      </c>
      <c r="D5" s="214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70">
        <f>IFERROR('Mérleg terv'!$E$30/'Mérleg terv'!$E$92,0)</f>
        <v>2.4278204081632655</v>
      </c>
    </row>
    <row r="6" spans="2:16" ht="16.05" customHeight="1" x14ac:dyDescent="0.25">
      <c r="B6" s="212" t="s">
        <v>300</v>
      </c>
      <c r="C6" s="217">
        <v>46</v>
      </c>
      <c r="D6" s="81">
        <v>48</v>
      </c>
      <c r="E6" s="81">
        <v>48</v>
      </c>
      <c r="F6" s="81">
        <v>48</v>
      </c>
      <c r="G6" s="81">
        <v>48</v>
      </c>
      <c r="H6" s="81">
        <v>48</v>
      </c>
      <c r="I6" s="81">
        <v>57</v>
      </c>
      <c r="J6" s="81">
        <v>57</v>
      </c>
      <c r="K6" s="81">
        <v>57</v>
      </c>
      <c r="L6" s="81">
        <v>57</v>
      </c>
      <c r="M6" s="81">
        <v>56</v>
      </c>
      <c r="N6" s="81">
        <v>56</v>
      </c>
      <c r="O6" s="81">
        <v>56</v>
      </c>
      <c r="P6" s="85">
        <f>$O$6</f>
        <v>56</v>
      </c>
    </row>
    <row r="7" spans="2:16" ht="16.05" customHeight="1" x14ac:dyDescent="0.25">
      <c r="B7" s="212" t="s">
        <v>303</v>
      </c>
      <c r="C7" s="217" t="s">
        <v>316</v>
      </c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5">
        <f t="shared" ref="P7:P17" si="0">SUM(D7:O7)</f>
        <v>0</v>
      </c>
    </row>
    <row r="8" spans="2:16" ht="16.05" customHeight="1" x14ac:dyDescent="0.25">
      <c r="B8" s="212" t="s">
        <v>265</v>
      </c>
      <c r="C8" s="217" t="s">
        <v>316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5">
        <f t="shared" si="0"/>
        <v>0</v>
      </c>
    </row>
    <row r="9" spans="2:16" ht="16.05" customHeight="1" x14ac:dyDescent="0.25">
      <c r="B9" s="212" t="s">
        <v>269</v>
      </c>
      <c r="C9" s="217" t="s">
        <v>316</v>
      </c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5">
        <f t="shared" si="0"/>
        <v>0</v>
      </c>
    </row>
    <row r="10" spans="2:16" ht="16.05" customHeight="1" x14ac:dyDescent="0.25">
      <c r="B10" s="212"/>
      <c r="C10" s="218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5">
        <f t="shared" si="0"/>
        <v>0</v>
      </c>
    </row>
    <row r="11" spans="2:16" ht="16.05" customHeight="1" x14ac:dyDescent="0.25">
      <c r="B11" s="212"/>
      <c r="C11" s="218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5">
        <f t="shared" si="0"/>
        <v>0</v>
      </c>
    </row>
    <row r="12" spans="2:16" ht="16.05" customHeight="1" x14ac:dyDescent="0.25">
      <c r="B12" s="212"/>
      <c r="C12" s="218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5">
        <f t="shared" si="0"/>
        <v>0</v>
      </c>
    </row>
    <row r="13" spans="2:16" ht="16.05" customHeight="1" x14ac:dyDescent="0.25">
      <c r="B13" s="212"/>
      <c r="C13" s="218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5">
        <f t="shared" si="0"/>
        <v>0</v>
      </c>
    </row>
    <row r="14" spans="2:16" ht="16.05" customHeight="1" x14ac:dyDescent="0.25">
      <c r="B14" s="212"/>
      <c r="C14" s="218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5">
        <f t="shared" si="0"/>
        <v>0</v>
      </c>
    </row>
    <row r="15" spans="2:16" ht="16.05" customHeight="1" x14ac:dyDescent="0.25">
      <c r="B15" s="212"/>
      <c r="C15" s="218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5">
        <f t="shared" si="0"/>
        <v>0</v>
      </c>
    </row>
    <row r="16" spans="2:16" ht="16.05" customHeight="1" x14ac:dyDescent="0.25">
      <c r="B16" s="212"/>
      <c r="C16" s="218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5">
        <f t="shared" si="0"/>
        <v>0</v>
      </c>
    </row>
    <row r="17" spans="2:16" ht="16.05" customHeight="1" x14ac:dyDescent="0.25">
      <c r="B17" s="213"/>
      <c r="C17" s="219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5">
        <f t="shared" si="0"/>
        <v>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D6332-CDC4-4F5B-A2EF-7D225D63B610}">
  <dimension ref="A1:G36"/>
  <sheetViews>
    <sheetView topLeftCell="A13" workbookViewId="0">
      <selection activeCell="D11" sqref="D11"/>
    </sheetView>
  </sheetViews>
  <sheetFormatPr defaultColWidth="8" defaultRowHeight="14.4" x14ac:dyDescent="0.25"/>
  <cols>
    <col min="1" max="1" width="6.59765625" style="255" bestFit="1" customWidth="1"/>
    <col min="2" max="2" width="61.19921875" style="255" customWidth="1"/>
    <col min="3" max="3" width="15.5" style="33" customWidth="1"/>
    <col min="4" max="4" width="15.5" style="260" customWidth="1"/>
    <col min="5" max="6" width="8" style="255"/>
    <col min="7" max="7" width="8.69921875" style="255" bestFit="1" customWidth="1"/>
    <col min="8" max="16384" width="8" style="255"/>
  </cols>
  <sheetData>
    <row r="1" spans="1:7" ht="35.549999999999997" customHeight="1" thickBot="1" x14ac:dyDescent="0.3">
      <c r="A1" s="275"/>
      <c r="B1" s="276" t="s">
        <v>317</v>
      </c>
      <c r="C1" s="277" t="s">
        <v>367</v>
      </c>
      <c r="D1" s="278" t="s">
        <v>368</v>
      </c>
      <c r="E1" s="255" t="s">
        <v>266</v>
      </c>
    </row>
    <row r="2" spans="1:7" ht="28.8" x14ac:dyDescent="0.25">
      <c r="A2" s="261" t="s">
        <v>35</v>
      </c>
      <c r="B2" s="262" t="s">
        <v>318</v>
      </c>
      <c r="C2" s="263">
        <f>SUM(C3:C15)</f>
        <v>-348884</v>
      </c>
      <c r="D2" s="264">
        <f>SUM(D3:D15)</f>
        <v>1544953</v>
      </c>
      <c r="G2" s="256"/>
    </row>
    <row r="3" spans="1:7" ht="18.45" customHeight="1" x14ac:dyDescent="0.25">
      <c r="A3" s="273">
        <v>1</v>
      </c>
      <c r="B3" s="274" t="s">
        <v>319</v>
      </c>
      <c r="C3" s="265">
        <f>ROUND('EK terv'!C48/1000,0)</f>
        <v>12730</v>
      </c>
      <c r="D3" s="266">
        <f>ROUND('EK terv'!P48/1000,0)</f>
        <v>40144</v>
      </c>
      <c r="G3" s="256"/>
    </row>
    <row r="4" spans="1:7" ht="18.45" customHeight="1" x14ac:dyDescent="0.25">
      <c r="A4" s="273">
        <v>2</v>
      </c>
      <c r="B4" s="274" t="s">
        <v>320</v>
      </c>
      <c r="C4" s="265">
        <v>112800</v>
      </c>
      <c r="D4" s="266">
        <v>118710</v>
      </c>
      <c r="G4" s="256"/>
    </row>
    <row r="5" spans="1:7" ht="18.45" customHeight="1" x14ac:dyDescent="0.25">
      <c r="A5" s="273">
        <v>3</v>
      </c>
      <c r="B5" s="274" t="s">
        <v>321</v>
      </c>
      <c r="C5" s="265"/>
      <c r="D5" s="266"/>
      <c r="G5" s="256"/>
    </row>
    <row r="6" spans="1:7" ht="18.45" customHeight="1" x14ac:dyDescent="0.25">
      <c r="A6" s="273">
        <v>4</v>
      </c>
      <c r="B6" s="274" t="s">
        <v>322</v>
      </c>
      <c r="C6" s="265"/>
      <c r="D6" s="266"/>
      <c r="G6" s="256"/>
    </row>
    <row r="7" spans="1:7" ht="18.45" customHeight="1" x14ac:dyDescent="0.25">
      <c r="A7" s="273">
        <v>5</v>
      </c>
      <c r="B7" s="274" t="s">
        <v>323</v>
      </c>
      <c r="C7" s="265">
        <v>-3400</v>
      </c>
      <c r="D7" s="266"/>
      <c r="G7" s="256"/>
    </row>
    <row r="8" spans="1:7" ht="18.45" customHeight="1" x14ac:dyDescent="0.25">
      <c r="A8" s="273">
        <v>6</v>
      </c>
      <c r="B8" s="274" t="s">
        <v>324</v>
      </c>
      <c r="C8" s="265">
        <v>-36000</v>
      </c>
      <c r="D8" s="266">
        <v>2400</v>
      </c>
      <c r="G8" s="256"/>
    </row>
    <row r="9" spans="1:7" ht="18.45" customHeight="1" x14ac:dyDescent="0.25">
      <c r="A9" s="273">
        <v>7</v>
      </c>
      <c r="B9" s="274" t="s">
        <v>325</v>
      </c>
      <c r="C9" s="265">
        <v>-7000</v>
      </c>
      <c r="D9" s="266">
        <v>7600</v>
      </c>
    </row>
    <row r="10" spans="1:7" ht="18.45" customHeight="1" x14ac:dyDescent="0.25">
      <c r="A10" s="273">
        <v>8</v>
      </c>
      <c r="B10" s="274" t="s">
        <v>326</v>
      </c>
      <c r="C10" s="265">
        <v>-440000</v>
      </c>
      <c r="D10" s="266">
        <v>1412465</v>
      </c>
    </row>
    <row r="11" spans="1:7" ht="18.45" customHeight="1" x14ac:dyDescent="0.25">
      <c r="A11" s="273">
        <v>9</v>
      </c>
      <c r="B11" s="274" t="s">
        <v>327</v>
      </c>
      <c r="C11" s="265">
        <v>15000</v>
      </c>
      <c r="D11" s="266">
        <v>1792</v>
      </c>
    </row>
    <row r="12" spans="1:7" ht="18.45" customHeight="1" x14ac:dyDescent="0.25">
      <c r="A12" s="273">
        <v>10</v>
      </c>
      <c r="B12" s="274" t="s">
        <v>328</v>
      </c>
      <c r="C12" s="265">
        <v>-2114</v>
      </c>
      <c r="D12" s="266">
        <v>3314</v>
      </c>
    </row>
    <row r="13" spans="1:7" ht="18.45" customHeight="1" x14ac:dyDescent="0.25">
      <c r="A13" s="273">
        <v>11</v>
      </c>
      <c r="B13" s="274" t="s">
        <v>329</v>
      </c>
      <c r="C13" s="265">
        <v>-900</v>
      </c>
      <c r="D13" s="267">
        <v>819</v>
      </c>
    </row>
    <row r="14" spans="1:7" ht="18.45" customHeight="1" x14ac:dyDescent="0.25">
      <c r="A14" s="273">
        <v>12</v>
      </c>
      <c r="B14" s="274" t="s">
        <v>330</v>
      </c>
      <c r="C14" s="265">
        <v>0</v>
      </c>
      <c r="D14" s="267">
        <v>-42291</v>
      </c>
    </row>
    <row r="15" spans="1:7" ht="18.45" customHeight="1" x14ac:dyDescent="0.25">
      <c r="A15" s="273">
        <v>13</v>
      </c>
      <c r="B15" s="274" t="s">
        <v>331</v>
      </c>
      <c r="C15" s="265"/>
      <c r="D15" s="267"/>
    </row>
    <row r="16" spans="1:7" ht="28.8" x14ac:dyDescent="0.25">
      <c r="A16" s="272" t="s">
        <v>38</v>
      </c>
      <c r="B16" s="262" t="s">
        <v>332</v>
      </c>
      <c r="C16" s="263">
        <f>SUM(C17:C19)</f>
        <v>-186522</v>
      </c>
      <c r="D16" s="264">
        <f>SUM(D17:D19)</f>
        <v>-2850175</v>
      </c>
    </row>
    <row r="17" spans="1:4" ht="19.05" customHeight="1" x14ac:dyDescent="0.25">
      <c r="A17" s="273">
        <v>14</v>
      </c>
      <c r="B17" s="274" t="s">
        <v>333</v>
      </c>
      <c r="C17" s="265">
        <v>-189922</v>
      </c>
      <c r="D17" s="266">
        <f>-(2199000+508675)-142500</f>
        <v>-2850175</v>
      </c>
    </row>
    <row r="18" spans="1:4" ht="19.05" customHeight="1" x14ac:dyDescent="0.25">
      <c r="A18" s="273">
        <v>15</v>
      </c>
      <c r="B18" s="274" t="s">
        <v>334</v>
      </c>
      <c r="C18" s="265">
        <v>3400</v>
      </c>
      <c r="D18" s="267"/>
    </row>
    <row r="19" spans="1:4" ht="19.05" customHeight="1" x14ac:dyDescent="0.25">
      <c r="A19" s="273">
        <v>16</v>
      </c>
      <c r="B19" s="274" t="s">
        <v>335</v>
      </c>
      <c r="C19" s="265"/>
      <c r="D19" s="267"/>
    </row>
    <row r="20" spans="1:4" ht="28.8" x14ac:dyDescent="0.25">
      <c r="A20" s="261" t="s">
        <v>41</v>
      </c>
      <c r="B20" s="262" t="s">
        <v>336</v>
      </c>
      <c r="C20" s="263">
        <f>SUM(C21:C31)</f>
        <v>801250</v>
      </c>
      <c r="D20" s="264">
        <f>SUM(D21:D31)</f>
        <v>901250</v>
      </c>
    </row>
    <row r="21" spans="1:4" ht="19.95" customHeight="1" x14ac:dyDescent="0.25">
      <c r="A21" s="273">
        <v>17</v>
      </c>
      <c r="B21" s="274" t="s">
        <v>337</v>
      </c>
      <c r="C21" s="265"/>
      <c r="D21" s="267"/>
    </row>
    <row r="22" spans="1:4" ht="19.95" customHeight="1" x14ac:dyDescent="0.25">
      <c r="A22" s="273">
        <v>18</v>
      </c>
      <c r="B22" s="274" t="s">
        <v>338</v>
      </c>
      <c r="C22" s="265"/>
      <c r="D22" s="267"/>
    </row>
    <row r="23" spans="1:4" ht="19.95" customHeight="1" x14ac:dyDescent="0.25">
      <c r="A23" s="273">
        <v>19</v>
      </c>
      <c r="B23" s="274" t="s">
        <v>339</v>
      </c>
      <c r="C23" s="265"/>
      <c r="D23" s="267"/>
    </row>
    <row r="24" spans="1:4" ht="28.8" x14ac:dyDescent="0.25">
      <c r="A24" s="273">
        <v>20</v>
      </c>
      <c r="B24" s="274" t="s">
        <v>340</v>
      </c>
      <c r="C24" s="265"/>
      <c r="D24" s="267"/>
    </row>
    <row r="25" spans="1:4" ht="19.95" customHeight="1" x14ac:dyDescent="0.25">
      <c r="A25" s="273">
        <v>21</v>
      </c>
      <c r="B25" s="274" t="s">
        <v>341</v>
      </c>
      <c r="C25" s="265">
        <v>812700</v>
      </c>
      <c r="D25" s="267">
        <v>912700</v>
      </c>
    </row>
    <row r="26" spans="1:4" ht="19.95" customHeight="1" x14ac:dyDescent="0.25">
      <c r="A26" s="273">
        <v>22</v>
      </c>
      <c r="B26" s="274" t="s">
        <v>342</v>
      </c>
      <c r="C26" s="265"/>
      <c r="D26" s="267"/>
    </row>
    <row r="27" spans="1:4" ht="19.95" customHeight="1" x14ac:dyDescent="0.25">
      <c r="A27" s="273">
        <v>23</v>
      </c>
      <c r="B27" s="274" t="s">
        <v>343</v>
      </c>
      <c r="C27" s="265"/>
      <c r="D27" s="267"/>
    </row>
    <row r="28" spans="1:4" ht="19.95" customHeight="1" x14ac:dyDescent="0.25">
      <c r="A28" s="273">
        <v>24</v>
      </c>
      <c r="B28" s="274" t="s">
        <v>344</v>
      </c>
      <c r="C28" s="265">
        <v>-11450</v>
      </c>
      <c r="D28" s="267">
        <v>-11450</v>
      </c>
    </row>
    <row r="29" spans="1:4" ht="19.95" customHeight="1" x14ac:dyDescent="0.25">
      <c r="A29" s="273">
        <v>25</v>
      </c>
      <c r="B29" s="274" t="s">
        <v>345</v>
      </c>
      <c r="C29" s="265"/>
      <c r="D29" s="267"/>
    </row>
    <row r="30" spans="1:4" ht="19.95" customHeight="1" x14ac:dyDescent="0.25">
      <c r="A30" s="273">
        <v>26</v>
      </c>
      <c r="B30" s="274" t="s">
        <v>346</v>
      </c>
      <c r="C30" s="265"/>
      <c r="D30" s="267"/>
    </row>
    <row r="31" spans="1:4" ht="19.95" customHeight="1" x14ac:dyDescent="0.25">
      <c r="A31" s="273">
        <v>27</v>
      </c>
      <c r="B31" s="274" t="s">
        <v>347</v>
      </c>
      <c r="C31" s="265"/>
      <c r="D31" s="267"/>
    </row>
    <row r="32" spans="1:4" ht="15" thickBot="1" x14ac:dyDescent="0.3">
      <c r="A32" s="268" t="s">
        <v>77</v>
      </c>
      <c r="B32" s="269" t="s">
        <v>348</v>
      </c>
      <c r="C32" s="270">
        <f>C20+C16+C2</f>
        <v>265844</v>
      </c>
      <c r="D32" s="271">
        <f>D2+D16+D20</f>
        <v>-403972</v>
      </c>
    </row>
    <row r="33" spans="3:4" x14ac:dyDescent="0.25">
      <c r="C33" s="286">
        <f>'Mérleg terv'!D55-320036</f>
        <v>265844</v>
      </c>
      <c r="D33" s="286">
        <f>'Mérleg terv'!E55-'Mérleg terv'!D55</f>
        <v>-403972</v>
      </c>
    </row>
    <row r="34" spans="3:4" x14ac:dyDescent="0.25">
      <c r="D34" s="257"/>
    </row>
    <row r="35" spans="3:4" x14ac:dyDescent="0.25">
      <c r="D35" s="258"/>
    </row>
    <row r="36" spans="3:4" x14ac:dyDescent="0.25">
      <c r="D36" s="25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H segédtábla</vt:lpstr>
      <vt:lpstr>INFO</vt:lpstr>
      <vt:lpstr>Vezetői összefoglaló</vt:lpstr>
      <vt:lpstr>Támogatások</vt:lpstr>
      <vt:lpstr>EK terv</vt:lpstr>
      <vt:lpstr>Mérleg terv</vt:lpstr>
      <vt:lpstr>Mutatók</vt:lpstr>
      <vt:lpstr>Cash flow terv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Rónai Vivien</dc:creator>
  <cp:lastModifiedBy>Judit HJ.</cp:lastModifiedBy>
  <cp:lastPrinted>2019-02-01T10:11:51Z</cp:lastPrinted>
  <dcterms:created xsi:type="dcterms:W3CDTF">2019-01-31T11:20:17Z</dcterms:created>
  <dcterms:modified xsi:type="dcterms:W3CDTF">2024-11-28T11:17:44Z</dcterms:modified>
</cp:coreProperties>
</file>